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TMP\BS_files\v.2.8\"/>
    </mc:Choice>
  </mc:AlternateContent>
  <bookViews>
    <workbookView xWindow="0" yWindow="0" windowWidth="20730" windowHeight="11685" tabRatio="931"/>
  </bookViews>
  <sheets>
    <sheet name="Index" sheetId="194" r:id="rId1"/>
    <sheet name="Instructions" sheetId="212" r:id="rId2"/>
    <sheet name="1.1" sheetId="140" r:id="rId3"/>
    <sheet name="1.2" sheetId="141" r:id="rId4"/>
    <sheet name="1.3" sheetId="116" r:id="rId5"/>
    <sheet name="2" sheetId="143" r:id="rId6"/>
    <sheet name="3" sheetId="168" r:id="rId7"/>
    <sheet name="4" sheetId="144" r:id="rId8"/>
    <sheet name="5" sheetId="126" r:id="rId9"/>
    <sheet name="6" sheetId="182" r:id="rId10"/>
    <sheet name="7" sheetId="152" r:id="rId11"/>
    <sheet name="8" sheetId="145" r:id="rId12"/>
    <sheet name="9" sheetId="146" r:id="rId13"/>
    <sheet name="10" sheetId="124" r:id="rId14"/>
    <sheet name="11" sheetId="178" r:id="rId15"/>
    <sheet name="12" sheetId="150" r:id="rId16"/>
    <sheet name="13" sheetId="183" r:id="rId17"/>
    <sheet name="14" sheetId="153" r:id="rId18"/>
    <sheet name="15" sheetId="155" r:id="rId19"/>
    <sheet name="16" sheetId="169" r:id="rId20"/>
    <sheet name="17" sheetId="190" r:id="rId21"/>
    <sheet name="20" sheetId="172" r:id="rId22"/>
    <sheet name="20 (All countries)" sheetId="213" r:id="rId23"/>
    <sheet name="20 (CY)" sheetId="215" r:id="rId24"/>
    <sheet name="20_Codes" sheetId="201" r:id="rId25"/>
    <sheet name="21" sheetId="187" r:id="rId26"/>
    <sheet name="22" sheetId="186" r:id="rId27"/>
    <sheet name="30" sheetId="202" r:id="rId28"/>
    <sheet name="31" sheetId="203" r:id="rId29"/>
    <sheet name="40" sheetId="204" r:id="rId30"/>
    <sheet name="40_Codes" sheetId="205" r:id="rId31"/>
    <sheet name="41" sheetId="206" r:id="rId32"/>
    <sheet name="42" sheetId="207" r:id="rId33"/>
    <sheet name="43" sheetId="208" r:id="rId34"/>
    <sheet name="44" sheetId="209" r:id="rId35"/>
    <sheet name="45" sheetId="210" r:id="rId36"/>
    <sheet name="46" sheetId="211" r:id="rId37"/>
  </sheets>
  <definedNames>
    <definedName name="_17.REconciliation_bEtwEEn_Accounting_and_CRR_scopE_of_consolidation__BalancE_ShEEt">'17'!$C$7</definedName>
    <definedName name="_xlnm._FilterDatabase" localSheetId="29" hidden="1">'40'!$B$12:$U$426</definedName>
    <definedName name="acc_group">'40_Codes'!$C$2:$C$5</definedName>
    <definedName name="Accountinggroup">'40_Codes'!$C$3:$C$6</definedName>
    <definedName name="Accountingtreatment">'40_Codes'!$C$3:$C$6</definedName>
    <definedName name="code">'20_Codes'!$B$3:$B$4</definedName>
    <definedName name="Codes">'20_Codes'!$B$3:$B$253</definedName>
    <definedName name="country">'40_Codes'!$H$3:$H$251</definedName>
    <definedName name="crr_group">'40_Codes'!$D$2:$D$5</definedName>
    <definedName name="CRRGroup">'40_Codes'!$D$3:$D$6</definedName>
    <definedName name="group_list">'40_Codes'!$B$2:$B$8</definedName>
    <definedName name="group_str">'40_Codes'!$B$2:$B$5</definedName>
    <definedName name="Groupstructure">'40_Codes'!$B$3:$B$5</definedName>
    <definedName name="nacecode">'40_Codes'!$A$14:$A$36</definedName>
    <definedName name="_xlnm.Print_Area" localSheetId="2">'1.1'!$A$7:$I$54</definedName>
    <definedName name="_xlnm.Print_Area" localSheetId="3">'1.2'!$B$1:$G$59</definedName>
    <definedName name="_xlnm.Print_Area" localSheetId="4">'1.3'!$A$7:$H$57</definedName>
    <definedName name="_xlnm.Print_Area" localSheetId="13">'10'!$A$7:$L$80</definedName>
    <definedName name="_xlnm.Print_Area" localSheetId="14">'11'!$A$7:$O$128</definedName>
    <definedName name="_xlnm.Print_Area" localSheetId="15">'12'!$A$7:$Z$99</definedName>
    <definedName name="_xlnm.Print_Area" localSheetId="16">'13'!$B$7:$N$60</definedName>
    <definedName name="_xlnm.Print_Area" localSheetId="17">'14'!$B$7:$P$42</definedName>
    <definedName name="_xlnm.Print_Area" localSheetId="18">'15'!$B$7:$AA$33</definedName>
    <definedName name="_xlnm.Print_Area" localSheetId="19">'16'!$A$7:$K$200</definedName>
    <definedName name="_xlnm.Print_Area" localSheetId="20">'17'!$A$7:$F$120</definedName>
    <definedName name="_xlnm.Print_Area" localSheetId="5">'2'!$A$7:$H$83</definedName>
    <definedName name="_xlnm.Print_Area" localSheetId="21">'20'!$A$7:$H$126</definedName>
    <definedName name="_xlnm.Print_Area" localSheetId="22">'20 (All countries)'!$A$7:$T$124</definedName>
    <definedName name="_xlnm.Print_Area" localSheetId="23">'20 (CY)'!$A$7:$O$124</definedName>
    <definedName name="_xlnm.Print_Area" localSheetId="25">'21'!$A$7:$G$32</definedName>
    <definedName name="_xlnm.Print_Area" localSheetId="26">'22'!$A$7:$F$72</definedName>
    <definedName name="_xlnm.Print_Area" localSheetId="6">'3'!$A$7:$E$57</definedName>
    <definedName name="_xlnm.Print_Area" localSheetId="27">'30'!$A$7:$K$49</definedName>
    <definedName name="_xlnm.Print_Area" localSheetId="28">'31'!$A$7:$N$63</definedName>
    <definedName name="_xlnm.Print_Area" localSheetId="7">'4'!$A$7:$Z$174</definedName>
    <definedName name="_xlnm.Print_Area" localSheetId="29">'40'!$A$1:$AH$852</definedName>
    <definedName name="_xlnm.Print_Area" localSheetId="31">'41'!$A$7:$M$46</definedName>
    <definedName name="_xlnm.Print_Area" localSheetId="33">'43'!$A$1:$K$23</definedName>
    <definedName name="_xlnm.Print_Area" localSheetId="8">'5'!$B$6:$L$51</definedName>
    <definedName name="_xlnm.Print_Area" localSheetId="9">'6'!$A$7:$I$59</definedName>
    <definedName name="_xlnm.Print_Area" localSheetId="10">'7'!$A$7:$R$79</definedName>
    <definedName name="_xlnm.Print_Area" localSheetId="11">'8'!$B$6:$Q$80</definedName>
    <definedName name="_xlnm.Print_Area" localSheetId="12">'9'!$A$7:$Y$72</definedName>
    <definedName name="_xlnm.Print_Area" localSheetId="0">Index!$B$5:$E$111</definedName>
    <definedName name="_xlnm.Print_Titles" localSheetId="15">'12'!$7:$14</definedName>
    <definedName name="_xlnm.Print_Titles" localSheetId="5">'2'!$7:$9</definedName>
    <definedName name="_xlnm.Print_Titles" localSheetId="29">'40'!$B:$C</definedName>
    <definedName name="Sectorofinvestee">'40_Codes'!$A$3:$A$10</definedName>
    <definedName name="sectors_list">'40_Codes'!$A$2:$A$10</definedName>
    <definedName name="subsidiary">'40_Codes'!$B$3:$B$5</definedName>
    <definedName name="Z_1DB48480_6711_40FB_9C4F_EB173E700CA0_.wvu.PrintArea" localSheetId="2" hidden="1">'1.1'!$D$7:$F$41</definedName>
    <definedName name="Z_1DB48480_6711_40FB_9C4F_EB173E700CA0_.wvu.PrintArea" localSheetId="3" hidden="1">'1.2'!$D$7:$D$39</definedName>
    <definedName name="Z_1DB48480_6711_40FB_9C4F_EB173E700CA0_.wvu.PrintArea" localSheetId="4" hidden="1">'1.3'!$D$7:$D$52</definedName>
    <definedName name="Z_1DB48480_6711_40FB_9C4F_EB173E700CA0_.wvu.PrintArea" localSheetId="15" hidden="1">'12'!$C$7:$O$104</definedName>
    <definedName name="Z_1DB48480_6711_40FB_9C4F_EB173E700CA0_.wvu.PrintArea" localSheetId="16" hidden="1">'13'!$C$7:$K$57</definedName>
    <definedName name="Z_1DB48480_6711_40FB_9C4F_EB173E700CA0_.wvu.PrintArea" localSheetId="18" hidden="1">'15'!$D$7:$N$32</definedName>
    <definedName name="Z_1DB48480_6711_40FB_9C4F_EB173E700CA0_.wvu.PrintArea" localSheetId="19" hidden="1">'16'!$C$7:$E$64</definedName>
    <definedName name="Z_1DB48480_6711_40FB_9C4F_EB173E700CA0_.wvu.PrintArea" localSheetId="20" hidden="1">'17'!$C$107:$E$132</definedName>
    <definedName name="Z_1DB48480_6711_40FB_9C4F_EB173E700CA0_.wvu.PrintArea" localSheetId="5" hidden="1">'2'!$D$7:$F$78</definedName>
    <definedName name="Z_1DB48480_6711_40FB_9C4F_EB173E700CA0_.wvu.PrintArea" localSheetId="6" hidden="1">'3'!$C$9:$N$53</definedName>
    <definedName name="Z_1DB48480_6711_40FB_9C4F_EB173E700CA0_.wvu.PrintArea" localSheetId="7" hidden="1">'4'!#REF!</definedName>
    <definedName name="Z_1DB48480_6711_40FB_9C4F_EB173E700CA0_.wvu.PrintArea" localSheetId="8" hidden="1">'5'!$D$11:$I$22</definedName>
    <definedName name="Z_1DB48480_6711_40FB_9C4F_EB173E700CA0_.wvu.PrintArea" localSheetId="10" hidden="1">'7'!$C$7:$N$41</definedName>
    <definedName name="Z_1DB48480_6711_40FB_9C4F_EB173E700CA0_.wvu.PrintArea" localSheetId="11" hidden="1">'8'!$C$7:$D$72</definedName>
  </definedNames>
  <calcPr calcId="162913"/>
  <customWorkbookViews>
    <customWorkbookView name="a456100 - Visualizzazione personale" guid="{1DB48480-6711-40FB-9C4F-EB173E700CA0}" mergeInterval="0" personalView="1" maximized="1" windowWidth="1020" windowHeight="605" activeSheetId="54" showComments="commIndAndComment"/>
  </customWorkbookViews>
</workbook>
</file>

<file path=xl/calcChain.xml><?xml version="1.0" encoding="utf-8"?>
<calcChain xmlns="http://schemas.openxmlformats.org/spreadsheetml/2006/main">
  <c r="B9" i="194" l="1"/>
  <c r="H17" i="116" l="1"/>
  <c r="X68" i="150"/>
  <c r="W68" i="150"/>
  <c r="V68" i="150"/>
  <c r="U68" i="150"/>
  <c r="R68" i="150"/>
  <c r="Q68" i="150"/>
  <c r="P68" i="150"/>
  <c r="X67" i="150"/>
  <c r="W67" i="150"/>
  <c r="V67" i="150"/>
  <c r="U67" i="150"/>
  <c r="P67" i="150"/>
  <c r="X66" i="150"/>
  <c r="W66" i="150"/>
  <c r="V66" i="150"/>
  <c r="U66" i="150"/>
  <c r="R66" i="150"/>
  <c r="Q66" i="150"/>
  <c r="P66" i="150"/>
  <c r="X65" i="150"/>
  <c r="W65" i="150"/>
  <c r="V65" i="150"/>
  <c r="U65" i="150"/>
  <c r="R65" i="150"/>
  <c r="Q65" i="150"/>
  <c r="P65" i="150"/>
  <c r="E85" i="169" l="1"/>
  <c r="A99" i="150" l="1"/>
  <c r="A98" i="150"/>
  <c r="A97" i="150"/>
  <c r="A96" i="150"/>
  <c r="A95" i="150"/>
  <c r="A94" i="150"/>
  <c r="A93" i="150"/>
  <c r="A92" i="150"/>
  <c r="A91" i="150"/>
  <c r="A90" i="150"/>
  <c r="A89" i="150"/>
  <c r="A88" i="150"/>
  <c r="A87" i="150"/>
  <c r="A86" i="150"/>
  <c r="A85" i="150"/>
  <c r="J74" i="150"/>
  <c r="I74" i="150"/>
  <c r="H74" i="150"/>
  <c r="G74" i="150"/>
  <c r="F74" i="150"/>
  <c r="E74" i="150"/>
  <c r="I96" i="178"/>
  <c r="H96" i="178"/>
  <c r="G96" i="178"/>
  <c r="F96" i="178"/>
  <c r="E96" i="178"/>
  <c r="G76" i="178"/>
  <c r="F76" i="178"/>
  <c r="E76" i="178"/>
  <c r="F24" i="172" l="1"/>
  <c r="E24" i="172"/>
  <c r="J27" i="203" l="1"/>
  <c r="G9" i="215" l="1"/>
  <c r="I123" i="215" l="1"/>
  <c r="I124" i="215" s="1"/>
  <c r="H123" i="215"/>
  <c r="H124" i="215" s="1"/>
  <c r="G123" i="215"/>
  <c r="L123" i="215" s="1"/>
  <c r="F123" i="215"/>
  <c r="F124" i="215" s="1"/>
  <c r="E123" i="215"/>
  <c r="J123" i="215" s="1"/>
  <c r="A123" i="215"/>
  <c r="L122" i="215"/>
  <c r="K122" i="215"/>
  <c r="J122" i="215"/>
  <c r="A122" i="215"/>
  <c r="L121" i="215"/>
  <c r="K121" i="215"/>
  <c r="J121" i="215"/>
  <c r="A121" i="215"/>
  <c r="L120" i="215"/>
  <c r="K120" i="215"/>
  <c r="J120" i="215"/>
  <c r="A120" i="215"/>
  <c r="L119" i="215"/>
  <c r="K119" i="215"/>
  <c r="J119" i="215"/>
  <c r="A119" i="215"/>
  <c r="L118" i="215"/>
  <c r="K118" i="215"/>
  <c r="J118" i="215"/>
  <c r="A118" i="215"/>
  <c r="L117" i="215"/>
  <c r="K117" i="215"/>
  <c r="J117" i="215"/>
  <c r="A117" i="215"/>
  <c r="L116" i="215"/>
  <c r="K116" i="215"/>
  <c r="J116" i="215"/>
  <c r="A116" i="215"/>
  <c r="L115" i="215"/>
  <c r="K115" i="215"/>
  <c r="J115" i="215"/>
  <c r="A115" i="215"/>
  <c r="L114" i="215"/>
  <c r="K114" i="215"/>
  <c r="J114" i="215"/>
  <c r="A114" i="215"/>
  <c r="L113" i="215"/>
  <c r="K113" i="215"/>
  <c r="J113" i="215"/>
  <c r="A113" i="215"/>
  <c r="L112" i="215"/>
  <c r="K112" i="215"/>
  <c r="J112" i="215"/>
  <c r="A112" i="215"/>
  <c r="L111" i="215"/>
  <c r="K111" i="215"/>
  <c r="J111" i="215"/>
  <c r="A111" i="215"/>
  <c r="L110" i="215"/>
  <c r="K110" i="215"/>
  <c r="J110" i="215"/>
  <c r="A110" i="215"/>
  <c r="L109" i="215"/>
  <c r="K109" i="215"/>
  <c r="J109" i="215"/>
  <c r="A109" i="215"/>
  <c r="L108" i="215"/>
  <c r="K108" i="215"/>
  <c r="J108" i="215"/>
  <c r="A108" i="215"/>
  <c r="L107" i="215"/>
  <c r="K107" i="215"/>
  <c r="J107" i="215"/>
  <c r="A107" i="215"/>
  <c r="L106" i="215"/>
  <c r="K106" i="215"/>
  <c r="J106" i="215"/>
  <c r="A106" i="215"/>
  <c r="L105" i="215"/>
  <c r="K105" i="215"/>
  <c r="J105" i="215"/>
  <c r="A105" i="215"/>
  <c r="L104" i="215"/>
  <c r="K104" i="215"/>
  <c r="J104" i="215"/>
  <c r="A104" i="215"/>
  <c r="F93" i="215"/>
  <c r="A92" i="215"/>
  <c r="I91" i="215"/>
  <c r="H91" i="215"/>
  <c r="G91" i="215"/>
  <c r="F91" i="215"/>
  <c r="E91" i="215"/>
  <c r="A91" i="215"/>
  <c r="G87" i="215"/>
  <c r="A87" i="215"/>
  <c r="G86" i="215"/>
  <c r="A86" i="215"/>
  <c r="G85" i="215"/>
  <c r="A85" i="215"/>
  <c r="G84" i="215"/>
  <c r="A84" i="215"/>
  <c r="G83" i="215"/>
  <c r="A83" i="215"/>
  <c r="G82" i="215"/>
  <c r="A82" i="215"/>
  <c r="E81" i="215"/>
  <c r="G81" i="215" s="1"/>
  <c r="A81" i="215"/>
  <c r="G80" i="215"/>
  <c r="A80" i="215"/>
  <c r="G79" i="215"/>
  <c r="A79" i="215"/>
  <c r="G78" i="215"/>
  <c r="F78" i="215"/>
  <c r="A78" i="215"/>
  <c r="G77" i="215"/>
  <c r="A77" i="215"/>
  <c r="G76" i="215"/>
  <c r="A76" i="215"/>
  <c r="G75" i="215"/>
  <c r="F75" i="215"/>
  <c r="A75" i="215"/>
  <c r="F66" i="215"/>
  <c r="A65" i="215"/>
  <c r="E64" i="215"/>
  <c r="A64" i="215"/>
  <c r="F61" i="215"/>
  <c r="E61" i="215"/>
  <c r="M60" i="215"/>
  <c r="L60" i="215"/>
  <c r="J60" i="215"/>
  <c r="I60" i="215"/>
  <c r="A60" i="215"/>
  <c r="M59" i="215"/>
  <c r="L59" i="215"/>
  <c r="J59" i="215"/>
  <c r="I59" i="215"/>
  <c r="A59" i="215"/>
  <c r="M58" i="215"/>
  <c r="L58" i="215"/>
  <c r="J58" i="215"/>
  <c r="I58" i="215"/>
  <c r="A58" i="215"/>
  <c r="F49" i="215"/>
  <c r="A48" i="215"/>
  <c r="H47" i="215"/>
  <c r="G47" i="215"/>
  <c r="F47" i="215"/>
  <c r="E47" i="215"/>
  <c r="A47" i="215"/>
  <c r="I44" i="215"/>
  <c r="H44" i="215"/>
  <c r="E44" i="215"/>
  <c r="I43" i="215"/>
  <c r="H43" i="215"/>
  <c r="E43" i="215"/>
  <c r="I42" i="215"/>
  <c r="H42" i="215"/>
  <c r="E42" i="215"/>
  <c r="N41" i="215"/>
  <c r="K41" i="215"/>
  <c r="J41" i="215"/>
  <c r="I41" i="215"/>
  <c r="H41" i="215"/>
  <c r="G41" i="215"/>
  <c r="F41" i="215"/>
  <c r="E41" i="215"/>
  <c r="T40" i="215"/>
  <c r="S40" i="215"/>
  <c r="R40" i="215"/>
  <c r="Q40" i="215"/>
  <c r="P40" i="215"/>
  <c r="O40" i="215"/>
  <c r="N40" i="215"/>
  <c r="L40" i="215"/>
  <c r="A40" i="215"/>
  <c r="T39" i="215"/>
  <c r="S39" i="215"/>
  <c r="R39" i="215"/>
  <c r="Q39" i="215"/>
  <c r="P39" i="215"/>
  <c r="O39" i="215"/>
  <c r="N39" i="215"/>
  <c r="L39" i="215"/>
  <c r="A39" i="215"/>
  <c r="T38" i="215"/>
  <c r="S38" i="215"/>
  <c r="R38" i="215"/>
  <c r="Q38" i="215"/>
  <c r="P38" i="215"/>
  <c r="O38" i="215"/>
  <c r="N38" i="215"/>
  <c r="L38" i="215"/>
  <c r="A38" i="215"/>
  <c r="T37" i="215"/>
  <c r="S37" i="215"/>
  <c r="R37" i="215"/>
  <c r="Q37" i="215"/>
  <c r="P37" i="215"/>
  <c r="O37" i="215"/>
  <c r="N37" i="215"/>
  <c r="L37" i="215"/>
  <c r="A37" i="215"/>
  <c r="T36" i="215"/>
  <c r="S36" i="215"/>
  <c r="R36" i="215"/>
  <c r="Q36" i="215"/>
  <c r="P36" i="215"/>
  <c r="O36" i="215"/>
  <c r="N36" i="215"/>
  <c r="L36" i="215"/>
  <c r="A36" i="215"/>
  <c r="T35" i="215"/>
  <c r="S35" i="215"/>
  <c r="R35" i="215"/>
  <c r="Q35" i="215"/>
  <c r="P35" i="215"/>
  <c r="O35" i="215"/>
  <c r="N35" i="215"/>
  <c r="L35" i="215"/>
  <c r="A35" i="215"/>
  <c r="T34" i="215"/>
  <c r="S34" i="215"/>
  <c r="R34" i="215"/>
  <c r="Q34" i="215"/>
  <c r="P34" i="215"/>
  <c r="O34" i="215"/>
  <c r="N34" i="215"/>
  <c r="L34" i="215"/>
  <c r="A34" i="215"/>
  <c r="T33" i="215"/>
  <c r="S33" i="215"/>
  <c r="R33" i="215"/>
  <c r="Q33" i="215"/>
  <c r="P33" i="215"/>
  <c r="O33" i="215"/>
  <c r="N33" i="215"/>
  <c r="L33" i="215"/>
  <c r="A33" i="215"/>
  <c r="T32" i="215"/>
  <c r="S32" i="215"/>
  <c r="R32" i="215"/>
  <c r="Q32" i="215"/>
  <c r="P32" i="215"/>
  <c r="O32" i="215"/>
  <c r="N32" i="215"/>
  <c r="L32" i="215"/>
  <c r="A32" i="215"/>
  <c r="T31" i="215"/>
  <c r="S31" i="215"/>
  <c r="R31" i="215"/>
  <c r="Q31" i="215"/>
  <c r="P31" i="215"/>
  <c r="O31" i="215"/>
  <c r="L31" i="215"/>
  <c r="A31" i="215"/>
  <c r="N30" i="215"/>
  <c r="K30" i="215"/>
  <c r="S30" i="215" s="1"/>
  <c r="J30" i="215"/>
  <c r="T30" i="215" s="1"/>
  <c r="I30" i="215"/>
  <c r="H30" i="215"/>
  <c r="G30" i="215"/>
  <c r="Q30" i="215" s="1"/>
  <c r="F30" i="215"/>
  <c r="P30" i="215" s="1"/>
  <c r="E30" i="215"/>
  <c r="N31" i="215" s="1"/>
  <c r="A30" i="215"/>
  <c r="T29" i="215"/>
  <c r="S29" i="215"/>
  <c r="R29" i="215"/>
  <c r="Q29" i="215"/>
  <c r="P29" i="215"/>
  <c r="O29" i="215"/>
  <c r="N29" i="215"/>
  <c r="L29" i="215"/>
  <c r="A29" i="215"/>
  <c r="T28" i="215"/>
  <c r="S28" i="215"/>
  <c r="R28" i="215"/>
  <c r="Q28" i="215"/>
  <c r="P28" i="215"/>
  <c r="O28" i="215"/>
  <c r="N28" i="215"/>
  <c r="L28" i="215"/>
  <c r="A28" i="215"/>
  <c r="T27" i="215"/>
  <c r="S27" i="215"/>
  <c r="R27" i="215"/>
  <c r="Q27" i="215"/>
  <c r="P27" i="215"/>
  <c r="O27" i="215"/>
  <c r="N27" i="215"/>
  <c r="L27" i="215"/>
  <c r="A27" i="215"/>
  <c r="T26" i="215"/>
  <c r="S26" i="215"/>
  <c r="R26" i="215"/>
  <c r="Q26" i="215"/>
  <c r="P26" i="215"/>
  <c r="O26" i="215"/>
  <c r="N26" i="215"/>
  <c r="L26" i="215"/>
  <c r="A26" i="215"/>
  <c r="T25" i="215"/>
  <c r="S25" i="215"/>
  <c r="R25" i="215"/>
  <c r="Q25" i="215"/>
  <c r="P25" i="215"/>
  <c r="O25" i="215"/>
  <c r="L25" i="215"/>
  <c r="A25" i="215"/>
  <c r="N24" i="215"/>
  <c r="K24" i="215"/>
  <c r="S24" i="215" s="1"/>
  <c r="J24" i="215"/>
  <c r="R24" i="215" s="1"/>
  <c r="I24" i="215"/>
  <c r="M28" i="215" s="1"/>
  <c r="H24" i="215"/>
  <c r="L24" i="215" s="1"/>
  <c r="G24" i="215"/>
  <c r="Q24" i="215" s="1"/>
  <c r="F24" i="215"/>
  <c r="P24" i="215" s="1"/>
  <c r="E24" i="215"/>
  <c r="M24" i="215" s="1"/>
  <c r="A24" i="215"/>
  <c r="Q23" i="215"/>
  <c r="P23" i="215"/>
  <c r="N23" i="215"/>
  <c r="A23" i="215"/>
  <c r="Q22" i="215"/>
  <c r="P22" i="215"/>
  <c r="N22" i="215"/>
  <c r="M22" i="215"/>
  <c r="A22" i="215"/>
  <c r="Q21" i="215"/>
  <c r="P21" i="215"/>
  <c r="N21" i="215"/>
  <c r="M21" i="215"/>
  <c r="A21" i="215"/>
  <c r="Q20" i="215"/>
  <c r="P20" i="215"/>
  <c r="N20" i="215"/>
  <c r="M20" i="215"/>
  <c r="A20" i="215"/>
  <c r="Q19" i="215"/>
  <c r="P19" i="215"/>
  <c r="N19" i="215"/>
  <c r="A19" i="215"/>
  <c r="Q18" i="215"/>
  <c r="P18" i="215"/>
  <c r="N18" i="215"/>
  <c r="A18" i="215"/>
  <c r="Q17" i="215"/>
  <c r="P17" i="215"/>
  <c r="O17" i="215"/>
  <c r="N17" i="215"/>
  <c r="M17" i="215"/>
  <c r="A17" i="215"/>
  <c r="F4" i="215"/>
  <c r="A3" i="215"/>
  <c r="K2" i="215"/>
  <c r="J2" i="215"/>
  <c r="I2" i="215"/>
  <c r="H2" i="215"/>
  <c r="G2" i="215"/>
  <c r="F2" i="215"/>
  <c r="E2" i="215"/>
  <c r="A2" i="215"/>
  <c r="T24" i="215" l="1"/>
  <c r="O50" i="215"/>
  <c r="G49" i="215" s="1"/>
  <c r="N25" i="215"/>
  <c r="L30" i="215"/>
  <c r="R30" i="215"/>
  <c r="O24" i="215"/>
  <c r="O30" i="215"/>
  <c r="K123" i="215"/>
  <c r="G124" i="215"/>
  <c r="M26" i="215"/>
  <c r="E115" i="144"/>
  <c r="T40" i="213"/>
  <c r="T39" i="213"/>
  <c r="T38" i="213"/>
  <c r="T37" i="213"/>
  <c r="T36" i="213"/>
  <c r="T35" i="213"/>
  <c r="T34" i="213"/>
  <c r="T33" i="213"/>
  <c r="T32" i="213"/>
  <c r="T31" i="213"/>
  <c r="T29" i="213"/>
  <c r="T28" i="213"/>
  <c r="T27" i="213"/>
  <c r="T26" i="213"/>
  <c r="T25" i="213"/>
  <c r="M17" i="150"/>
  <c r="L114" i="144"/>
  <c r="K114" i="144"/>
  <c r="J114" i="144"/>
  <c r="I114" i="144"/>
  <c r="H114" i="144"/>
  <c r="G114" i="144"/>
  <c r="F114" i="144"/>
  <c r="L108" i="144"/>
  <c r="K108" i="144"/>
  <c r="J108" i="144"/>
  <c r="I108" i="144"/>
  <c r="H108" i="144"/>
  <c r="G108" i="144"/>
  <c r="F108" i="144"/>
  <c r="E120" i="144"/>
  <c r="E119" i="144"/>
  <c r="E118" i="144"/>
  <c r="E117" i="144"/>
  <c r="E116" i="144"/>
  <c r="E113" i="144"/>
  <c r="E112" i="144"/>
  <c r="E111" i="144"/>
  <c r="E110" i="144"/>
  <c r="E109" i="144"/>
  <c r="Q31" i="155"/>
  <c r="Q30" i="155"/>
  <c r="Q28" i="155"/>
  <c r="Q27" i="155"/>
  <c r="Q26" i="155"/>
  <c r="Q21" i="155"/>
  <c r="Q20" i="155"/>
  <c r="Q19" i="155"/>
  <c r="Q18" i="155"/>
  <c r="Q15" i="155"/>
  <c r="P31" i="155"/>
  <c r="P30" i="155"/>
  <c r="P28" i="155"/>
  <c r="P27" i="155"/>
  <c r="P26" i="155"/>
  <c r="P21" i="155"/>
  <c r="P20" i="155"/>
  <c r="P19" i="155"/>
  <c r="M30" i="153"/>
  <c r="E114" i="144" l="1"/>
  <c r="E108" i="144"/>
  <c r="Q123" i="215"/>
  <c r="M123" i="215"/>
  <c r="O122" i="215"/>
  <c r="P121" i="215"/>
  <c r="Q120" i="215"/>
  <c r="M120" i="215"/>
  <c r="N119" i="215"/>
  <c r="O118" i="215"/>
  <c r="P117" i="215"/>
  <c r="Q116" i="215"/>
  <c r="M116" i="215"/>
  <c r="N115" i="215"/>
  <c r="O114" i="215"/>
  <c r="P113" i="215"/>
  <c r="Q112" i="215"/>
  <c r="M112" i="215"/>
  <c r="N111" i="215"/>
  <c r="O110" i="215"/>
  <c r="P109" i="215"/>
  <c r="Q108" i="215"/>
  <c r="M108" i="215"/>
  <c r="N107" i="215"/>
  <c r="O106" i="215"/>
  <c r="P105" i="215"/>
  <c r="Q104" i="215"/>
  <c r="M104" i="215"/>
  <c r="T20" i="215"/>
  <c r="O5" i="215" s="1"/>
  <c r="G4" i="215" s="1"/>
  <c r="P123" i="215"/>
  <c r="M119" i="215"/>
  <c r="N118" i="215"/>
  <c r="O117" i="215"/>
  <c r="P116" i="215"/>
  <c r="Q115" i="215"/>
  <c r="M111" i="215"/>
  <c r="N110" i="215"/>
  <c r="O109" i="215"/>
  <c r="M107" i="215"/>
  <c r="N106" i="215"/>
  <c r="P104" i="215"/>
  <c r="M110" i="215"/>
  <c r="N109" i="215"/>
  <c r="M106" i="215"/>
  <c r="N105" i="215"/>
  <c r="O104" i="215"/>
  <c r="N123" i="215"/>
  <c r="P122" i="215"/>
  <c r="Q121" i="215"/>
  <c r="M121" i="215"/>
  <c r="N120" i="215"/>
  <c r="O119" i="215"/>
  <c r="P118" i="215"/>
  <c r="Q117" i="215"/>
  <c r="M117" i="215"/>
  <c r="N116" i="215"/>
  <c r="O115" i="215"/>
  <c r="P114" i="215"/>
  <c r="Q113" i="215"/>
  <c r="M113" i="215"/>
  <c r="N112" i="215"/>
  <c r="O111" i="215"/>
  <c r="P110" i="215"/>
  <c r="Q109" i="215"/>
  <c r="M109" i="215"/>
  <c r="N108" i="215"/>
  <c r="O107" i="215"/>
  <c r="P106" i="215"/>
  <c r="Q105" i="215"/>
  <c r="M105" i="215"/>
  <c r="N104" i="215"/>
  <c r="H81" i="215"/>
  <c r="H78" i="215"/>
  <c r="H75" i="215"/>
  <c r="N122" i="215"/>
  <c r="O121" i="215"/>
  <c r="P120" i="215"/>
  <c r="Q119" i="215"/>
  <c r="M115" i="215"/>
  <c r="N114" i="215"/>
  <c r="O113" i="215"/>
  <c r="P112" i="215"/>
  <c r="Q111" i="215"/>
  <c r="P108" i="215"/>
  <c r="Q107" i="215"/>
  <c r="O105" i="215"/>
  <c r="O123" i="215"/>
  <c r="Q122" i="215"/>
  <c r="M122" i="215"/>
  <c r="N121" i="215"/>
  <c r="O120" i="215"/>
  <c r="P119" i="215"/>
  <c r="Q118" i="215"/>
  <c r="M118" i="215"/>
  <c r="N117" i="215"/>
  <c r="O116" i="215"/>
  <c r="P115" i="215"/>
  <c r="Q114" i="215"/>
  <c r="M114" i="215"/>
  <c r="N113" i="215"/>
  <c r="O112" i="215"/>
  <c r="P111" i="215"/>
  <c r="Q110" i="215"/>
  <c r="O108" i="215"/>
  <c r="P107" i="215"/>
  <c r="Q106" i="215"/>
  <c r="H15" i="146"/>
  <c r="O94" i="215" l="1"/>
  <c r="G93" i="215" s="1"/>
  <c r="O67" i="215"/>
  <c r="G66" i="215" s="1"/>
  <c r="F9" i="215" s="1"/>
  <c r="H123" i="213"/>
  <c r="H124" i="213" s="1"/>
  <c r="E34" i="144"/>
  <c r="E34" i="190"/>
  <c r="E30" i="183"/>
  <c r="F26" i="153"/>
  <c r="E26" i="153"/>
  <c r="J121" i="144"/>
  <c r="I121" i="144"/>
  <c r="H121" i="144"/>
  <c r="G121" i="144"/>
  <c r="F121" i="144"/>
  <c r="E121" i="144"/>
  <c r="E35" i="182"/>
  <c r="E56" i="182" s="1"/>
  <c r="R28" i="152"/>
  <c r="R27" i="152"/>
  <c r="R26" i="152"/>
  <c r="R25" i="152"/>
  <c r="R24" i="152"/>
  <c r="R23" i="152"/>
  <c r="R21" i="152"/>
  <c r="R20" i="152"/>
  <c r="R19" i="152"/>
  <c r="R18" i="152"/>
  <c r="R17" i="152"/>
  <c r="Q28" i="152"/>
  <c r="Q27" i="152"/>
  <c r="Q26" i="152"/>
  <c r="Q25" i="152"/>
  <c r="Q24" i="152"/>
  <c r="Q23" i="152"/>
  <c r="Q21" i="152"/>
  <c r="Q20" i="152"/>
  <c r="Q19" i="152"/>
  <c r="Q18" i="152"/>
  <c r="Q17" i="152"/>
  <c r="P28" i="152"/>
  <c r="P27" i="152"/>
  <c r="P26" i="152"/>
  <c r="P25" i="152"/>
  <c r="P24" i="152"/>
  <c r="P23" i="152"/>
  <c r="P21" i="152"/>
  <c r="P20" i="152"/>
  <c r="P19" i="152"/>
  <c r="P18" i="152"/>
  <c r="P17" i="152"/>
  <c r="F22" i="126" l="1"/>
  <c r="E20" i="144"/>
  <c r="M18" i="150"/>
  <c r="J124" i="144"/>
  <c r="I124" i="144"/>
  <c r="H124" i="144"/>
  <c r="G124" i="144"/>
  <c r="F124" i="144"/>
  <c r="E48" i="150"/>
  <c r="E16" i="150"/>
  <c r="E85" i="150"/>
  <c r="J41" i="213"/>
  <c r="F50" i="116"/>
  <c r="E43" i="178"/>
  <c r="E105" i="169"/>
  <c r="F56" i="143" l="1"/>
  <c r="F30" i="141"/>
  <c r="E111" i="172"/>
  <c r="K22" i="126"/>
  <c r="G77" i="144" l="1"/>
  <c r="G78" i="144"/>
  <c r="G79" i="144"/>
  <c r="G80" i="144"/>
  <c r="G81" i="144"/>
  <c r="G83" i="144"/>
  <c r="G84" i="144"/>
  <c r="G85" i="144"/>
  <c r="G86" i="144"/>
  <c r="G87" i="144"/>
  <c r="G88" i="144"/>
  <c r="F35" i="143"/>
  <c r="F177" i="169"/>
  <c r="F187" i="169" s="1"/>
  <c r="F18" i="143"/>
  <c r="F25" i="143"/>
  <c r="F14" i="116"/>
  <c r="F18" i="116"/>
  <c r="H63" i="145"/>
  <c r="F28" i="141" s="1"/>
  <c r="M42" i="153" s="1"/>
  <c r="F37" i="141"/>
  <c r="F31" i="140"/>
  <c r="F23" i="116"/>
  <c r="L31" i="146" l="1"/>
  <c r="K31" i="146"/>
  <c r="J31" i="146"/>
  <c r="I31" i="146"/>
  <c r="H31" i="146"/>
  <c r="G31" i="146"/>
  <c r="F31" i="146"/>
  <c r="E31" i="146"/>
  <c r="L23" i="146"/>
  <c r="K23" i="146"/>
  <c r="J23" i="146"/>
  <c r="I23" i="146"/>
  <c r="H23" i="146"/>
  <c r="Z65" i="150" s="1"/>
  <c r="G23" i="146"/>
  <c r="F23" i="146"/>
  <c r="E23" i="146"/>
  <c r="L15" i="146"/>
  <c r="K15" i="146"/>
  <c r="J15" i="146"/>
  <c r="I15" i="146"/>
  <c r="G15" i="146"/>
  <c r="F15" i="146"/>
  <c r="E15" i="146"/>
  <c r="E64" i="144"/>
  <c r="P18" i="155"/>
  <c r="Z66" i="150" l="1"/>
  <c r="G35" i="141"/>
  <c r="F34" i="116"/>
  <c r="E154" i="144"/>
  <c r="E153" i="144"/>
  <c r="K49" i="126" s="1"/>
  <c r="E152" i="144"/>
  <c r="E151" i="144"/>
  <c r="E150" i="144"/>
  <c r="E149" i="144"/>
  <c r="E147" i="144"/>
  <c r="E146" i="144"/>
  <c r="E145" i="144"/>
  <c r="E144" i="144"/>
  <c r="E143" i="144"/>
  <c r="N148" i="144"/>
  <c r="M148" i="144"/>
  <c r="L148" i="144"/>
  <c r="K148" i="144"/>
  <c r="J148" i="144"/>
  <c r="I148" i="144"/>
  <c r="H148" i="144"/>
  <c r="G148" i="144"/>
  <c r="F148" i="144"/>
  <c r="N142" i="144"/>
  <c r="N155" i="144" s="1"/>
  <c r="N157" i="144" s="1"/>
  <c r="M142" i="144"/>
  <c r="L142" i="144"/>
  <c r="K142" i="144"/>
  <c r="K155" i="144" s="1"/>
  <c r="K157" i="144" s="1"/>
  <c r="J142" i="144"/>
  <c r="J155" i="144" s="1"/>
  <c r="J157" i="144" s="1"/>
  <c r="I142" i="144"/>
  <c r="H142" i="144"/>
  <c r="G142" i="144"/>
  <c r="G155" i="144" s="1"/>
  <c r="G157" i="144" s="1"/>
  <c r="F142" i="144"/>
  <c r="L121" i="144"/>
  <c r="K121" i="144"/>
  <c r="K124" i="144" s="1"/>
  <c r="N114" i="144"/>
  <c r="N121" i="144" s="1"/>
  <c r="N124" i="144" s="1"/>
  <c r="M114" i="144"/>
  <c r="N108" i="144"/>
  <c r="M108" i="144"/>
  <c r="J91" i="150"/>
  <c r="I91" i="150"/>
  <c r="H91" i="150"/>
  <c r="G91" i="150"/>
  <c r="F91" i="150"/>
  <c r="E91" i="150"/>
  <c r="E98" i="150" s="1"/>
  <c r="J85" i="150"/>
  <c r="I85" i="150"/>
  <c r="H85" i="150"/>
  <c r="G85" i="150"/>
  <c r="F85" i="150"/>
  <c r="H71" i="150"/>
  <c r="O69" i="150"/>
  <c r="X69" i="150" s="1"/>
  <c r="N69" i="150"/>
  <c r="W69" i="150" s="1"/>
  <c r="M69" i="150"/>
  <c r="V69" i="150" s="1"/>
  <c r="L69" i="150"/>
  <c r="K69" i="150"/>
  <c r="U69" i="150" s="1"/>
  <c r="J69" i="150"/>
  <c r="I69" i="150"/>
  <c r="H69" i="150"/>
  <c r="G69" i="150"/>
  <c r="R69" i="150" s="1"/>
  <c r="F69" i="150"/>
  <c r="Q69" i="150" s="1"/>
  <c r="E69" i="150"/>
  <c r="P69" i="150" s="1"/>
  <c r="O38" i="150"/>
  <c r="N38" i="150"/>
  <c r="L38" i="150"/>
  <c r="K38" i="150"/>
  <c r="J38" i="150"/>
  <c r="I38" i="150"/>
  <c r="H38" i="150"/>
  <c r="G38" i="150"/>
  <c r="F38" i="150"/>
  <c r="E38" i="150"/>
  <c r="M38" i="150" s="1"/>
  <c r="O32" i="150"/>
  <c r="N32" i="150"/>
  <c r="L32" i="150"/>
  <c r="K32" i="150"/>
  <c r="J32" i="150"/>
  <c r="I32" i="150"/>
  <c r="I31" i="150" s="1"/>
  <c r="I71" i="150" s="1"/>
  <c r="H32" i="150"/>
  <c r="H31" i="150" s="1"/>
  <c r="G32" i="150"/>
  <c r="F32" i="150"/>
  <c r="E32" i="150"/>
  <c r="E31" i="150" s="1"/>
  <c r="E71" i="150" s="1"/>
  <c r="O22" i="150"/>
  <c r="N22" i="150"/>
  <c r="L22" i="150"/>
  <c r="K22" i="150"/>
  <c r="J22" i="150"/>
  <c r="I22" i="150"/>
  <c r="H22" i="150"/>
  <c r="G22" i="150"/>
  <c r="M22" i="150" s="1"/>
  <c r="F22" i="150"/>
  <c r="E22" i="150"/>
  <c r="E15" i="150" s="1"/>
  <c r="P15" i="150" s="1"/>
  <c r="O16" i="150"/>
  <c r="O15" i="150" s="1"/>
  <c r="X15" i="150" s="1"/>
  <c r="N16" i="150"/>
  <c r="N15" i="150" s="1"/>
  <c r="W15" i="150" s="1"/>
  <c r="L16" i="150"/>
  <c r="K16" i="150"/>
  <c r="J16" i="150"/>
  <c r="J15" i="150" s="1"/>
  <c r="I16" i="150"/>
  <c r="I15" i="150" s="1"/>
  <c r="H16" i="150"/>
  <c r="G16" i="150"/>
  <c r="F16" i="150"/>
  <c r="F15" i="150" s="1"/>
  <c r="Q15" i="150" s="1"/>
  <c r="G32" i="124"/>
  <c r="F32" i="124"/>
  <c r="E32" i="124"/>
  <c r="L26" i="153"/>
  <c r="K26" i="153"/>
  <c r="J26" i="153"/>
  <c r="I26" i="153"/>
  <c r="H26" i="153"/>
  <c r="G26" i="153"/>
  <c r="L19" i="153"/>
  <c r="K19" i="153"/>
  <c r="J19" i="153"/>
  <c r="I19" i="153"/>
  <c r="H19" i="153"/>
  <c r="G19" i="153"/>
  <c r="F19" i="153"/>
  <c r="E19" i="153"/>
  <c r="E64" i="178"/>
  <c r="F35" i="172"/>
  <c r="E35" i="172"/>
  <c r="E99" i="190"/>
  <c r="E23" i="190"/>
  <c r="Q29" i="155"/>
  <c r="H53" i="178"/>
  <c r="H60" i="178" s="1"/>
  <c r="G53" i="178"/>
  <c r="F53" i="178"/>
  <c r="E53" i="178"/>
  <c r="H30" i="178"/>
  <c r="H37" i="178" s="1"/>
  <c r="G30" i="178"/>
  <c r="F30" i="178"/>
  <c r="E30" i="178"/>
  <c r="G59" i="145"/>
  <c r="F59" i="145"/>
  <c r="E59" i="145"/>
  <c r="E54" i="145" s="1"/>
  <c r="G45" i="145"/>
  <c r="F45" i="145"/>
  <c r="E45" i="145"/>
  <c r="G35" i="145"/>
  <c r="F35" i="145"/>
  <c r="E35" i="145"/>
  <c r="G30" i="145"/>
  <c r="F30" i="145"/>
  <c r="E30" i="145"/>
  <c r="G40" i="145"/>
  <c r="F40" i="145"/>
  <c r="E40" i="145"/>
  <c r="G25" i="145"/>
  <c r="F25" i="145"/>
  <c r="E25" i="145"/>
  <c r="G20" i="145"/>
  <c r="F20" i="145"/>
  <c r="E20" i="145"/>
  <c r="H32" i="124"/>
  <c r="H43" i="124" s="1"/>
  <c r="I123" i="213"/>
  <c r="I124" i="213" s="1"/>
  <c r="G123" i="213"/>
  <c r="G124" i="213" s="1"/>
  <c r="F123" i="213"/>
  <c r="F124" i="213" s="1"/>
  <c r="E123" i="213"/>
  <c r="F31" i="150" l="1"/>
  <c r="F71" i="150" s="1"/>
  <c r="G15" i="150"/>
  <c r="R15" i="150" s="1"/>
  <c r="M16" i="150"/>
  <c r="M15" i="150" s="1"/>
  <c r="Z15" i="150" s="1"/>
  <c r="G31" i="150"/>
  <c r="G71" i="150" s="1"/>
  <c r="I98" i="150"/>
  <c r="M121" i="144"/>
  <c r="M124" i="144" s="1"/>
  <c r="Z38" i="150"/>
  <c r="M32" i="150"/>
  <c r="M31" i="150" s="1"/>
  <c r="J31" i="150"/>
  <c r="J71" i="150" s="1"/>
  <c r="H15" i="150"/>
  <c r="L15" i="150"/>
  <c r="F98" i="150"/>
  <c r="J98" i="150"/>
  <c r="I155" i="144"/>
  <c r="I157" i="144" s="1"/>
  <c r="M155" i="144"/>
  <c r="M157" i="144" s="1"/>
  <c r="E148" i="144"/>
  <c r="H155" i="144"/>
  <c r="H157" i="144" s="1"/>
  <c r="L155" i="144"/>
  <c r="L157" i="144" s="1"/>
  <c r="P29" i="155"/>
  <c r="L124" i="144"/>
  <c r="K15" i="150"/>
  <c r="U15" i="150" s="1"/>
  <c r="G98" i="150"/>
  <c r="H98" i="150"/>
  <c r="F155" i="144"/>
  <c r="E142" i="144"/>
  <c r="U16" i="211"/>
  <c r="T16" i="211"/>
  <c r="E124" i="144"/>
  <c r="F46" i="140"/>
  <c r="V15" i="150" l="1"/>
  <c r="F157" i="144"/>
  <c r="E155" i="144"/>
  <c r="E157" i="144" s="1"/>
  <c r="Q25" i="155"/>
  <c r="P25" i="155"/>
  <c r="E118" i="190"/>
  <c r="E91" i="190"/>
  <c r="E105" i="190" s="1"/>
  <c r="E87" i="190"/>
  <c r="E81" i="190"/>
  <c r="E30" i="190"/>
  <c r="E27" i="190"/>
  <c r="E18" i="190"/>
  <c r="E14" i="190"/>
  <c r="S16" i="211" l="1"/>
  <c r="E36" i="186" l="1"/>
  <c r="F30" i="169"/>
  <c r="E30" i="169"/>
  <c r="F22" i="169"/>
  <c r="E22" i="169"/>
  <c r="E41" i="169" s="1"/>
  <c r="F16" i="169"/>
  <c r="E16" i="169"/>
  <c r="E32" i="203"/>
  <c r="F41" i="169" l="1"/>
  <c r="M18" i="206"/>
  <c r="E81" i="213"/>
  <c r="K30" i="213" l="1"/>
  <c r="J30" i="213"/>
  <c r="T30" i="213" s="1"/>
  <c r="I30" i="213"/>
  <c r="H30" i="213"/>
  <c r="G30" i="213"/>
  <c r="F30" i="213"/>
  <c r="E30" i="213"/>
  <c r="K24" i="213"/>
  <c r="J24" i="213"/>
  <c r="I24" i="213"/>
  <c r="H24" i="213"/>
  <c r="L24" i="213" s="1"/>
  <c r="F24" i="213"/>
  <c r="G24" i="213"/>
  <c r="E24" i="213"/>
  <c r="M22" i="213"/>
  <c r="M21" i="213"/>
  <c r="M20" i="213"/>
  <c r="F41" i="213"/>
  <c r="E44" i="213"/>
  <c r="E43" i="213"/>
  <c r="E42" i="213"/>
  <c r="E41" i="213"/>
  <c r="T24" i="213" l="1"/>
  <c r="R24" i="213"/>
  <c r="E122" i="172"/>
  <c r="F31" i="172"/>
  <c r="E31" i="172"/>
  <c r="L38" i="153"/>
  <c r="K38" i="153"/>
  <c r="J38" i="153"/>
  <c r="I38" i="153"/>
  <c r="H38" i="153"/>
  <c r="G38" i="153"/>
  <c r="F38" i="153"/>
  <c r="E38" i="153"/>
  <c r="L32" i="153"/>
  <c r="K32" i="153"/>
  <c r="J32" i="153"/>
  <c r="I32" i="153"/>
  <c r="H32" i="153"/>
  <c r="G32" i="153"/>
  <c r="F32" i="153"/>
  <c r="E32" i="153"/>
  <c r="L23" i="153"/>
  <c r="K23" i="153"/>
  <c r="E23" i="153"/>
  <c r="J23" i="153"/>
  <c r="L14" i="153"/>
  <c r="K14" i="153"/>
  <c r="J14" i="153"/>
  <c r="H14" i="153"/>
  <c r="I14" i="153"/>
  <c r="G14" i="153"/>
  <c r="F14" i="153"/>
  <c r="E14" i="153"/>
  <c r="F82" i="144"/>
  <c r="E82" i="144"/>
  <c r="G82" i="144" s="1"/>
  <c r="F76" i="144"/>
  <c r="E76" i="144"/>
  <c r="G76" i="144" s="1"/>
  <c r="E26" i="144"/>
  <c r="F89" i="144" l="1"/>
  <c r="E89" i="144"/>
  <c r="G89" i="144" s="1"/>
  <c r="L22" i="126" l="1"/>
  <c r="L51" i="126" s="1"/>
  <c r="J22" i="126"/>
  <c r="I22" i="126"/>
  <c r="H22" i="126"/>
  <c r="H46" i="126" s="1"/>
  <c r="E28" i="126"/>
  <c r="G22" i="126"/>
  <c r="G45" i="126" s="1"/>
  <c r="I33" i="124"/>
  <c r="F66" i="146"/>
  <c r="E59" i="146"/>
  <c r="F52" i="146"/>
  <c r="E22" i="152" l="1"/>
  <c r="M16" i="152"/>
  <c r="L16" i="152"/>
  <c r="K16" i="152"/>
  <c r="J16" i="152"/>
  <c r="I16" i="152"/>
  <c r="H16" i="152"/>
  <c r="G16" i="152"/>
  <c r="F16" i="152"/>
  <c r="E16" i="152"/>
  <c r="F62" i="143"/>
  <c r="F28" i="143"/>
  <c r="R16" i="152" l="1"/>
  <c r="Q16" i="152"/>
  <c r="E77" i="152"/>
  <c r="P16" i="152"/>
  <c r="E29" i="152"/>
  <c r="Q17" i="155" l="1"/>
  <c r="P17" i="155"/>
  <c r="G48" i="178"/>
  <c r="F48" i="178"/>
  <c r="E48" i="178"/>
  <c r="Y17" i="150" l="1"/>
  <c r="G67" i="124" l="1"/>
  <c r="G68" i="124"/>
  <c r="F67" i="124"/>
  <c r="F68" i="124"/>
  <c r="E67" i="124"/>
  <c r="E68" i="124"/>
  <c r="E66" i="124"/>
  <c r="I91" i="213" l="1"/>
  <c r="H91" i="213"/>
  <c r="G91" i="213"/>
  <c r="F91" i="213"/>
  <c r="K2" i="213"/>
  <c r="J2" i="213"/>
  <c r="I2" i="213"/>
  <c r="H2" i="213"/>
  <c r="G2" i="213"/>
  <c r="F2" i="213"/>
  <c r="A41" i="190"/>
  <c r="A40" i="190"/>
  <c r="A39" i="190"/>
  <c r="A38" i="190"/>
  <c r="A37" i="190"/>
  <c r="A36" i="190"/>
  <c r="A35" i="190"/>
  <c r="A34" i="190"/>
  <c r="A33" i="190"/>
  <c r="A32" i="190"/>
  <c r="A31" i="190"/>
  <c r="A30" i="190"/>
  <c r="A29" i="190"/>
  <c r="A28" i="190"/>
  <c r="A27" i="190"/>
  <c r="A26" i="190"/>
  <c r="A25" i="190"/>
  <c r="A24" i="190"/>
  <c r="A23" i="190"/>
  <c r="A22" i="190"/>
  <c r="A21" i="190"/>
  <c r="A20" i="190"/>
  <c r="A19" i="190"/>
  <c r="A18" i="190"/>
  <c r="A17" i="190"/>
  <c r="A16" i="190"/>
  <c r="A15" i="190"/>
  <c r="G167" i="169"/>
  <c r="E58" i="194"/>
  <c r="A121" i="169"/>
  <c r="A120" i="169"/>
  <c r="A119" i="169"/>
  <c r="A118" i="169"/>
  <c r="A117" i="169"/>
  <c r="E108" i="169"/>
  <c r="A109" i="169"/>
  <c r="A108" i="169"/>
  <c r="A3" i="169"/>
  <c r="P77" i="150" l="1"/>
  <c r="G76" i="150" s="1"/>
  <c r="E46" i="194" s="1"/>
  <c r="A75" i="150"/>
  <c r="A74" i="150"/>
  <c r="O2" i="150"/>
  <c r="N2" i="150"/>
  <c r="M2" i="150"/>
  <c r="L2" i="150"/>
  <c r="K2" i="150"/>
  <c r="A3" i="150"/>
  <c r="J2" i="150"/>
  <c r="I2" i="150"/>
  <c r="H2" i="150"/>
  <c r="G2" i="150"/>
  <c r="F2" i="150"/>
  <c r="A128" i="178"/>
  <c r="A127" i="178"/>
  <c r="A126" i="178"/>
  <c r="A125" i="178"/>
  <c r="A124" i="178"/>
  <c r="A123" i="178"/>
  <c r="A122" i="178"/>
  <c r="A121" i="178"/>
  <c r="A120" i="178"/>
  <c r="A119" i="178"/>
  <c r="A118" i="178"/>
  <c r="A117" i="178"/>
  <c r="A116" i="178"/>
  <c r="A115" i="178"/>
  <c r="A114" i="178"/>
  <c r="A113" i="178"/>
  <c r="A112" i="178"/>
  <c r="A111" i="178"/>
  <c r="A110" i="178"/>
  <c r="A109" i="178"/>
  <c r="A108" i="178"/>
  <c r="A107" i="178"/>
  <c r="A106" i="178"/>
  <c r="A97" i="178"/>
  <c r="A96" i="178"/>
  <c r="A93" i="178"/>
  <c r="A92" i="178"/>
  <c r="A91" i="178"/>
  <c r="A90" i="178"/>
  <c r="A89" i="178"/>
  <c r="A88" i="178"/>
  <c r="A87" i="178"/>
  <c r="A86" i="178"/>
  <c r="A77" i="178"/>
  <c r="A76" i="178"/>
  <c r="I2" i="182"/>
  <c r="H2" i="182"/>
  <c r="J129" i="144" l="1"/>
  <c r="I129" i="144"/>
  <c r="H129" i="144"/>
  <c r="G129" i="144"/>
  <c r="F129" i="144"/>
  <c r="E129" i="144"/>
  <c r="N129" i="144"/>
  <c r="M129" i="144"/>
  <c r="L129" i="144"/>
  <c r="K129" i="144"/>
  <c r="A32" i="183"/>
  <c r="W17" i="150" l="1"/>
  <c r="W18" i="150"/>
  <c r="W19" i="150"/>
  <c r="W20" i="150"/>
  <c r="W21" i="150"/>
  <c r="W23" i="150"/>
  <c r="W24" i="150"/>
  <c r="W25" i="150"/>
  <c r="W26" i="150"/>
  <c r="W27" i="150"/>
  <c r="W28" i="150"/>
  <c r="W29" i="150"/>
  <c r="W30" i="150"/>
  <c r="W33" i="150"/>
  <c r="W34" i="150"/>
  <c r="W35" i="150"/>
  <c r="W36" i="150"/>
  <c r="W37" i="150"/>
  <c r="W39" i="150"/>
  <c r="W40" i="150"/>
  <c r="W41" i="150"/>
  <c r="W42" i="150"/>
  <c r="W43" i="150"/>
  <c r="W44" i="150"/>
  <c r="W45" i="150"/>
  <c r="W46" i="150"/>
  <c r="W47" i="150"/>
  <c r="W49" i="150"/>
  <c r="W50" i="150"/>
  <c r="W51" i="150"/>
  <c r="W52" i="150"/>
  <c r="W53" i="150"/>
  <c r="W54" i="150"/>
  <c r="W55" i="150"/>
  <c r="W56" i="150"/>
  <c r="W57" i="150"/>
  <c r="W58" i="150"/>
  <c r="W59" i="150"/>
  <c r="W60" i="150"/>
  <c r="W61" i="150"/>
  <c r="W62" i="150"/>
  <c r="W63" i="150"/>
  <c r="X17" i="150"/>
  <c r="X18" i="150"/>
  <c r="X19" i="150"/>
  <c r="X20" i="150"/>
  <c r="X21" i="150"/>
  <c r="X23" i="150"/>
  <c r="X24" i="150"/>
  <c r="X25" i="150"/>
  <c r="X26" i="150"/>
  <c r="X27" i="150"/>
  <c r="X28" i="150"/>
  <c r="X29" i="150"/>
  <c r="X30" i="150"/>
  <c r="X33" i="150"/>
  <c r="X34" i="150"/>
  <c r="X35" i="150"/>
  <c r="X36" i="150"/>
  <c r="X37" i="150"/>
  <c r="X39" i="150"/>
  <c r="X40" i="150"/>
  <c r="X41" i="150"/>
  <c r="X42" i="150"/>
  <c r="X43" i="150"/>
  <c r="X44" i="150"/>
  <c r="X45" i="150"/>
  <c r="X46" i="150"/>
  <c r="X47" i="150"/>
  <c r="X49" i="150"/>
  <c r="X50" i="150"/>
  <c r="X51" i="150"/>
  <c r="X52" i="150"/>
  <c r="X53" i="150"/>
  <c r="X54" i="150"/>
  <c r="X55" i="150"/>
  <c r="X56" i="150"/>
  <c r="X57" i="150"/>
  <c r="X58" i="150"/>
  <c r="X59" i="150"/>
  <c r="X60" i="150"/>
  <c r="X61" i="150"/>
  <c r="X62" i="150"/>
  <c r="X63" i="150"/>
  <c r="U56" i="150"/>
  <c r="U57" i="150"/>
  <c r="U58" i="150"/>
  <c r="U59" i="150"/>
  <c r="U60" i="150"/>
  <c r="U61" i="150"/>
  <c r="U62" i="150"/>
  <c r="U63" i="150"/>
  <c r="U55" i="150"/>
  <c r="U50" i="150"/>
  <c r="U51" i="150"/>
  <c r="U52" i="150"/>
  <c r="U53" i="150"/>
  <c r="U54" i="150"/>
  <c r="U49" i="150"/>
  <c r="Q56" i="150"/>
  <c r="R56" i="150"/>
  <c r="Q57" i="150"/>
  <c r="R57" i="150"/>
  <c r="Q58" i="150"/>
  <c r="R58" i="150"/>
  <c r="Q59" i="150"/>
  <c r="R59" i="150"/>
  <c r="Q60" i="150"/>
  <c r="R60" i="150"/>
  <c r="Q61" i="150"/>
  <c r="R61" i="150"/>
  <c r="Q62" i="150"/>
  <c r="R62" i="150"/>
  <c r="Q63" i="150"/>
  <c r="R63" i="150"/>
  <c r="R55" i="150"/>
  <c r="Q55" i="150"/>
  <c r="P56" i="150"/>
  <c r="P57" i="150"/>
  <c r="P58" i="150"/>
  <c r="P59" i="150"/>
  <c r="P60" i="150"/>
  <c r="P61" i="150"/>
  <c r="P62" i="150"/>
  <c r="P63" i="150"/>
  <c r="P55" i="150"/>
  <c r="Q50" i="150"/>
  <c r="R50" i="150"/>
  <c r="Q51" i="150"/>
  <c r="R51" i="150"/>
  <c r="Q52" i="150"/>
  <c r="R52" i="150"/>
  <c r="Q53" i="150"/>
  <c r="R53" i="150"/>
  <c r="Q54" i="150"/>
  <c r="R54" i="150"/>
  <c r="R49" i="150"/>
  <c r="Q49" i="150"/>
  <c r="P50" i="150"/>
  <c r="P51" i="150"/>
  <c r="P52" i="150"/>
  <c r="P53" i="150"/>
  <c r="P54" i="150"/>
  <c r="P49" i="150"/>
  <c r="U45" i="150"/>
  <c r="U46" i="150"/>
  <c r="U47" i="150"/>
  <c r="U44" i="150"/>
  <c r="R45" i="150"/>
  <c r="R46" i="150"/>
  <c r="R47" i="150"/>
  <c r="R44" i="150"/>
  <c r="Q45" i="150"/>
  <c r="Q46" i="150"/>
  <c r="Q47" i="150"/>
  <c r="Q44" i="150"/>
  <c r="P45" i="150"/>
  <c r="P46" i="150"/>
  <c r="P47" i="150"/>
  <c r="P44" i="150"/>
  <c r="U29" i="150"/>
  <c r="U30" i="150"/>
  <c r="U28" i="150"/>
  <c r="R29" i="150"/>
  <c r="R30" i="150"/>
  <c r="R28" i="150"/>
  <c r="Q29" i="150"/>
  <c r="Q30" i="150"/>
  <c r="P29" i="150"/>
  <c r="P30" i="150"/>
  <c r="P28" i="150"/>
  <c r="Q28" i="150"/>
  <c r="J123" i="213" l="1"/>
  <c r="A123" i="213"/>
  <c r="L122" i="213"/>
  <c r="K122" i="213"/>
  <c r="J122" i="213"/>
  <c r="A122" i="213"/>
  <c r="L121" i="213"/>
  <c r="K121" i="213"/>
  <c r="J121" i="213"/>
  <c r="A121" i="213"/>
  <c r="L120" i="213"/>
  <c r="K120" i="213"/>
  <c r="J120" i="213"/>
  <c r="A120" i="213"/>
  <c r="L119" i="213"/>
  <c r="K119" i="213"/>
  <c r="J119" i="213"/>
  <c r="A119" i="213"/>
  <c r="L118" i="213"/>
  <c r="K118" i="213"/>
  <c r="J118" i="213"/>
  <c r="A118" i="213"/>
  <c r="L117" i="213"/>
  <c r="K117" i="213"/>
  <c r="J117" i="213"/>
  <c r="A117" i="213"/>
  <c r="L116" i="213"/>
  <c r="K116" i="213"/>
  <c r="J116" i="213"/>
  <c r="A116" i="213"/>
  <c r="L115" i="213"/>
  <c r="K115" i="213"/>
  <c r="J115" i="213"/>
  <c r="A115" i="213"/>
  <c r="L114" i="213"/>
  <c r="K114" i="213"/>
  <c r="J114" i="213"/>
  <c r="A114" i="213"/>
  <c r="L113" i="213"/>
  <c r="K113" i="213"/>
  <c r="J113" i="213"/>
  <c r="A113" i="213"/>
  <c r="L112" i="213"/>
  <c r="K112" i="213"/>
  <c r="J112" i="213"/>
  <c r="A112" i="213"/>
  <c r="L111" i="213"/>
  <c r="K111" i="213"/>
  <c r="J111" i="213"/>
  <c r="A111" i="213"/>
  <c r="L110" i="213"/>
  <c r="K110" i="213"/>
  <c r="J110" i="213"/>
  <c r="A110" i="213"/>
  <c r="L109" i="213"/>
  <c r="K109" i="213"/>
  <c r="J109" i="213"/>
  <c r="A109" i="213"/>
  <c r="L108" i="213"/>
  <c r="K108" i="213"/>
  <c r="J108" i="213"/>
  <c r="A108" i="213"/>
  <c r="L107" i="213"/>
  <c r="K107" i="213"/>
  <c r="J107" i="213"/>
  <c r="A107" i="213"/>
  <c r="L106" i="213"/>
  <c r="K106" i="213"/>
  <c r="J106" i="213"/>
  <c r="A106" i="213"/>
  <c r="L105" i="213"/>
  <c r="K105" i="213"/>
  <c r="J105" i="213"/>
  <c r="A105" i="213"/>
  <c r="L104" i="213"/>
  <c r="K104" i="213"/>
  <c r="J104" i="213"/>
  <c r="A104" i="213"/>
  <c r="F93" i="213"/>
  <c r="A92" i="213"/>
  <c r="E91" i="213"/>
  <c r="A91" i="213"/>
  <c r="G87" i="213"/>
  <c r="A87" i="213"/>
  <c r="G86" i="213"/>
  <c r="A86" i="213"/>
  <c r="G85" i="213"/>
  <c r="A85" i="213"/>
  <c r="G84" i="213"/>
  <c r="A84" i="213"/>
  <c r="G83" i="213"/>
  <c r="A83" i="213"/>
  <c r="G82" i="213"/>
  <c r="A82" i="213"/>
  <c r="G81" i="213"/>
  <c r="A81" i="213"/>
  <c r="G80" i="213"/>
  <c r="A80" i="213"/>
  <c r="G79" i="213"/>
  <c r="A79" i="213"/>
  <c r="G78" i="213"/>
  <c r="F78" i="213"/>
  <c r="A78" i="213"/>
  <c r="G77" i="213"/>
  <c r="A77" i="213"/>
  <c r="G76" i="213"/>
  <c r="A76" i="213"/>
  <c r="G75" i="213"/>
  <c r="F75" i="213"/>
  <c r="A75" i="213"/>
  <c r="F66" i="213"/>
  <c r="A65" i="213"/>
  <c r="E64" i="213"/>
  <c r="A64" i="213"/>
  <c r="F61" i="213"/>
  <c r="E61" i="213"/>
  <c r="M60" i="213"/>
  <c r="L60" i="213"/>
  <c r="J60" i="213"/>
  <c r="I60" i="213"/>
  <c r="A60" i="213"/>
  <c r="M59" i="213"/>
  <c r="L59" i="213"/>
  <c r="J59" i="213"/>
  <c r="I59" i="213"/>
  <c r="A59" i="213"/>
  <c r="M58" i="213"/>
  <c r="L58" i="213"/>
  <c r="J58" i="213"/>
  <c r="I58" i="213"/>
  <c r="A58" i="213"/>
  <c r="F49" i="213"/>
  <c r="A48" i="213"/>
  <c r="H47" i="213"/>
  <c r="G47" i="213"/>
  <c r="F47" i="213"/>
  <c r="E47" i="213"/>
  <c r="A47" i="213"/>
  <c r="I44" i="213"/>
  <c r="H44" i="213"/>
  <c r="I43" i="213"/>
  <c r="H43" i="213"/>
  <c r="I42" i="213"/>
  <c r="H42" i="213"/>
  <c r="N41" i="213"/>
  <c r="K41" i="213"/>
  <c r="I41" i="213"/>
  <c r="H41" i="213"/>
  <c r="G41" i="213"/>
  <c r="S40" i="213"/>
  <c r="R40" i="213"/>
  <c r="Q40" i="213"/>
  <c r="P40" i="213"/>
  <c r="O40" i="213"/>
  <c r="N40" i="213"/>
  <c r="L40" i="213"/>
  <c r="A40" i="213"/>
  <c r="S39" i="213"/>
  <c r="R39" i="213"/>
  <c r="Q39" i="213"/>
  <c r="P39" i="213"/>
  <c r="O39" i="213"/>
  <c r="N39" i="213"/>
  <c r="L39" i="213"/>
  <c r="A39" i="213"/>
  <c r="S38" i="213"/>
  <c r="R38" i="213"/>
  <c r="Q38" i="213"/>
  <c r="P38" i="213"/>
  <c r="O38" i="213"/>
  <c r="N38" i="213"/>
  <c r="L38" i="213"/>
  <c r="A38" i="213"/>
  <c r="S37" i="213"/>
  <c r="R37" i="213"/>
  <c r="Q37" i="213"/>
  <c r="P37" i="213"/>
  <c r="O37" i="213"/>
  <c r="N37" i="213"/>
  <c r="L37" i="213"/>
  <c r="A37" i="213"/>
  <c r="S36" i="213"/>
  <c r="R36" i="213"/>
  <c r="Q36" i="213"/>
  <c r="P36" i="213"/>
  <c r="O36" i="213"/>
  <c r="N36" i="213"/>
  <c r="L36" i="213"/>
  <c r="A36" i="213"/>
  <c r="S35" i="213"/>
  <c r="R35" i="213"/>
  <c r="Q35" i="213"/>
  <c r="P35" i="213"/>
  <c r="O35" i="213"/>
  <c r="N35" i="213"/>
  <c r="L35" i="213"/>
  <c r="A35" i="213"/>
  <c r="S34" i="213"/>
  <c r="R34" i="213"/>
  <c r="Q34" i="213"/>
  <c r="P34" i="213"/>
  <c r="O34" i="213"/>
  <c r="N34" i="213"/>
  <c r="L34" i="213"/>
  <c r="A34" i="213"/>
  <c r="S33" i="213"/>
  <c r="R33" i="213"/>
  <c r="Q33" i="213"/>
  <c r="P33" i="213"/>
  <c r="O33" i="213"/>
  <c r="N33" i="213"/>
  <c r="L33" i="213"/>
  <c r="A33" i="213"/>
  <c r="S32" i="213"/>
  <c r="R32" i="213"/>
  <c r="Q32" i="213"/>
  <c r="P32" i="213"/>
  <c r="O32" i="213"/>
  <c r="N32" i="213"/>
  <c r="L32" i="213"/>
  <c r="A32" i="213"/>
  <c r="S31" i="213"/>
  <c r="R31" i="213"/>
  <c r="Q31" i="213"/>
  <c r="P31" i="213"/>
  <c r="O31" i="213"/>
  <c r="L31" i="213"/>
  <c r="A31" i="213"/>
  <c r="S30" i="213"/>
  <c r="R30" i="213"/>
  <c r="Q30" i="213"/>
  <c r="P30" i="213"/>
  <c r="O30" i="213"/>
  <c r="N30" i="213"/>
  <c r="N31" i="213"/>
  <c r="A30" i="213"/>
  <c r="S29" i="213"/>
  <c r="R29" i="213"/>
  <c r="Q29" i="213"/>
  <c r="P29" i="213"/>
  <c r="O29" i="213"/>
  <c r="N29" i="213"/>
  <c r="L29" i="213"/>
  <c r="A29" i="213"/>
  <c r="S28" i="213"/>
  <c r="R28" i="213"/>
  <c r="Q28" i="213"/>
  <c r="P28" i="213"/>
  <c r="O28" i="213"/>
  <c r="N28" i="213"/>
  <c r="L28" i="213"/>
  <c r="A28" i="213"/>
  <c r="S27" i="213"/>
  <c r="R27" i="213"/>
  <c r="Q27" i="213"/>
  <c r="P27" i="213"/>
  <c r="O27" i="213"/>
  <c r="N27" i="213"/>
  <c r="L27" i="213"/>
  <c r="A27" i="213"/>
  <c r="S26" i="213"/>
  <c r="R26" i="213"/>
  <c r="Q26" i="213"/>
  <c r="P26" i="213"/>
  <c r="O26" i="213"/>
  <c r="N26" i="213"/>
  <c r="L26" i="213"/>
  <c r="A26" i="213"/>
  <c r="S25" i="213"/>
  <c r="R25" i="213"/>
  <c r="Q25" i="213"/>
  <c r="P25" i="213"/>
  <c r="O25" i="213"/>
  <c r="L25" i="213"/>
  <c r="A25" i="213"/>
  <c r="S24" i="213"/>
  <c r="N24" i="213"/>
  <c r="M28" i="213"/>
  <c r="M26" i="213"/>
  <c r="Q24" i="213"/>
  <c r="P24" i="213"/>
  <c r="N25" i="213"/>
  <c r="A24" i="213"/>
  <c r="Q23" i="213"/>
  <c r="P23" i="213"/>
  <c r="N23" i="213"/>
  <c r="A23" i="213"/>
  <c r="Q22" i="213"/>
  <c r="P22" i="213"/>
  <c r="N22" i="213"/>
  <c r="A22" i="213"/>
  <c r="Q21" i="213"/>
  <c r="P21" i="213"/>
  <c r="N21" i="213"/>
  <c r="A21" i="213"/>
  <c r="Q20" i="213"/>
  <c r="P20" i="213"/>
  <c r="N20" i="213"/>
  <c r="A20" i="213"/>
  <c r="Q19" i="213"/>
  <c r="P19" i="213"/>
  <c r="N19" i="213"/>
  <c r="A19" i="213"/>
  <c r="Q18" i="213"/>
  <c r="P18" i="213"/>
  <c r="N18" i="213"/>
  <c r="A18" i="213"/>
  <c r="Q17" i="213"/>
  <c r="P17" i="213"/>
  <c r="O17" i="213"/>
  <c r="N17" i="213"/>
  <c r="M17" i="213"/>
  <c r="A17" i="213"/>
  <c r="G9" i="213"/>
  <c r="F4" i="213"/>
  <c r="A3" i="213"/>
  <c r="E2" i="213"/>
  <c r="A2" i="213"/>
  <c r="O50" i="213" l="1"/>
  <c r="G49" i="213" s="1"/>
  <c r="E75" i="194" s="1"/>
  <c r="L123" i="213"/>
  <c r="M24" i="213"/>
  <c r="E11" i="213"/>
  <c r="K123" i="213"/>
  <c r="O24" i="213"/>
  <c r="L30" i="213"/>
  <c r="E32" i="183"/>
  <c r="A33" i="183"/>
  <c r="H43" i="203"/>
  <c r="H78" i="213" l="1"/>
  <c r="O104" i="213"/>
  <c r="P104" i="213"/>
  <c r="P108" i="213"/>
  <c r="M104" i="213"/>
  <c r="Q104" i="213"/>
  <c r="H81" i="213"/>
  <c r="H75" i="213"/>
  <c r="M22" i="126"/>
  <c r="Q105" i="213"/>
  <c r="Q109" i="213"/>
  <c r="Q113" i="213"/>
  <c r="Q117" i="213"/>
  <c r="Q121" i="213"/>
  <c r="P105" i="213"/>
  <c r="P109" i="213"/>
  <c r="P113" i="213"/>
  <c r="P117" i="213"/>
  <c r="P121" i="213"/>
  <c r="Q106" i="213"/>
  <c r="Q110" i="213"/>
  <c r="Q114" i="213"/>
  <c r="Q118" i="213"/>
  <c r="Q122" i="213"/>
  <c r="P106" i="213"/>
  <c r="P110" i="213"/>
  <c r="P114" i="213"/>
  <c r="P118" i="213"/>
  <c r="P122" i="213"/>
  <c r="Q107" i="213"/>
  <c r="Q111" i="213"/>
  <c r="Q115" i="213"/>
  <c r="Q119" i="213"/>
  <c r="P107" i="213"/>
  <c r="P111" i="213"/>
  <c r="P115" i="213"/>
  <c r="P119" i="213"/>
  <c r="Q108" i="213"/>
  <c r="Q112" i="213"/>
  <c r="Q116" i="213"/>
  <c r="Q120" i="213"/>
  <c r="P112" i="213"/>
  <c r="P116" i="213"/>
  <c r="P120" i="213"/>
  <c r="O120" i="213"/>
  <c r="O116" i="213"/>
  <c r="O112" i="213"/>
  <c r="O108" i="213"/>
  <c r="O119" i="213"/>
  <c r="O115" i="213"/>
  <c r="O111" i="213"/>
  <c r="O107" i="213"/>
  <c r="O122" i="213"/>
  <c r="O118" i="213"/>
  <c r="O114" i="213"/>
  <c r="O110" i="213"/>
  <c r="O106" i="213"/>
  <c r="O121" i="213"/>
  <c r="O117" i="213"/>
  <c r="O113" i="213"/>
  <c r="O109" i="213"/>
  <c r="O105" i="213"/>
  <c r="N104" i="213"/>
  <c r="N105" i="213"/>
  <c r="N109" i="213"/>
  <c r="N113" i="213"/>
  <c r="N117" i="213"/>
  <c r="N121" i="213"/>
  <c r="N106" i="213"/>
  <c r="N110" i="213"/>
  <c r="N114" i="213"/>
  <c r="N118" i="213"/>
  <c r="N122" i="213"/>
  <c r="N107" i="213"/>
  <c r="N111" i="213"/>
  <c r="N115" i="213"/>
  <c r="N119" i="213"/>
  <c r="N108" i="213"/>
  <c r="N112" i="213"/>
  <c r="N116" i="213"/>
  <c r="N120" i="213"/>
  <c r="M105" i="213"/>
  <c r="M109" i="213"/>
  <c r="M113" i="213"/>
  <c r="M117" i="213"/>
  <c r="M121" i="213"/>
  <c r="M106" i="213"/>
  <c r="M110" i="213"/>
  <c r="M114" i="213"/>
  <c r="M118" i="213"/>
  <c r="M122" i="213"/>
  <c r="M107" i="213"/>
  <c r="M111" i="213"/>
  <c r="M115" i="213"/>
  <c r="M119" i="213"/>
  <c r="M123" i="213"/>
  <c r="M108" i="213"/>
  <c r="M112" i="213"/>
  <c r="M116" i="213"/>
  <c r="M120" i="213"/>
  <c r="O22" i="126"/>
  <c r="R22" i="126"/>
  <c r="N22" i="126"/>
  <c r="Q22" i="126"/>
  <c r="P22" i="126"/>
  <c r="F42" i="146"/>
  <c r="F2" i="146"/>
  <c r="G2" i="146"/>
  <c r="H2" i="146"/>
  <c r="I2" i="146"/>
  <c r="J2" i="146"/>
  <c r="K2" i="146"/>
  <c r="L2" i="146"/>
  <c r="M2" i="146"/>
  <c r="N2" i="146"/>
  <c r="A143" i="144"/>
  <c r="A144" i="144"/>
  <c r="A145" i="144"/>
  <c r="A146" i="144"/>
  <c r="A147" i="144"/>
  <c r="A148" i="144"/>
  <c r="A149" i="144"/>
  <c r="A150" i="144"/>
  <c r="A151" i="144"/>
  <c r="A152" i="144"/>
  <c r="A153" i="144"/>
  <c r="A154" i="144"/>
  <c r="A155" i="144"/>
  <c r="A156" i="144"/>
  <c r="A142" i="144"/>
  <c r="A105" i="144"/>
  <c r="A106" i="144"/>
  <c r="A107" i="144"/>
  <c r="A108" i="144"/>
  <c r="A109" i="144"/>
  <c r="A110" i="144"/>
  <c r="A111" i="144"/>
  <c r="A112" i="144"/>
  <c r="A113" i="144"/>
  <c r="A114" i="144"/>
  <c r="A115" i="144"/>
  <c r="A116" i="144"/>
  <c r="A117" i="144"/>
  <c r="A118" i="144"/>
  <c r="A119" i="144"/>
  <c r="A120" i="144"/>
  <c r="A121" i="144"/>
  <c r="A122" i="144"/>
  <c r="A104" i="144"/>
  <c r="F92" i="144"/>
  <c r="G92" i="144"/>
  <c r="H92" i="144"/>
  <c r="I92" i="144"/>
  <c r="J92" i="144"/>
  <c r="K92" i="144"/>
  <c r="L92" i="144"/>
  <c r="M92" i="144"/>
  <c r="N92" i="144"/>
  <c r="E92" i="144"/>
  <c r="A93" i="144"/>
  <c r="A92" i="144"/>
  <c r="F66" i="144"/>
  <c r="E66" i="144"/>
  <c r="F36" i="144"/>
  <c r="E36" i="144"/>
  <c r="A76" i="144"/>
  <c r="A77" i="144"/>
  <c r="A78" i="144"/>
  <c r="A79" i="144"/>
  <c r="A80" i="144"/>
  <c r="A81" i="144"/>
  <c r="A82" i="144"/>
  <c r="A83" i="144"/>
  <c r="A84" i="144"/>
  <c r="A85" i="144"/>
  <c r="A86" i="144"/>
  <c r="A87" i="144"/>
  <c r="A88" i="144"/>
  <c r="A89" i="144"/>
  <c r="A67" i="144"/>
  <c r="A66" i="144"/>
  <c r="A47" i="144"/>
  <c r="A48" i="144"/>
  <c r="A49" i="144"/>
  <c r="A50" i="144"/>
  <c r="A51" i="144"/>
  <c r="A52" i="144"/>
  <c r="A53" i="144"/>
  <c r="A54" i="144"/>
  <c r="A55" i="144"/>
  <c r="A56" i="144"/>
  <c r="A57" i="144"/>
  <c r="A58" i="144"/>
  <c r="A59" i="144"/>
  <c r="A60" i="144"/>
  <c r="A61" i="144"/>
  <c r="A62" i="144"/>
  <c r="A63" i="144"/>
  <c r="A46" i="144"/>
  <c r="O67" i="213" l="1"/>
  <c r="G66" i="213" s="1"/>
  <c r="E76" i="194" s="1"/>
  <c r="E143" i="169"/>
  <c r="E120" i="169"/>
  <c r="G41" i="143" s="1"/>
  <c r="A15" i="169"/>
  <c r="A42" i="169"/>
  <c r="P29" i="153"/>
  <c r="P28" i="153"/>
  <c r="P27" i="153"/>
  <c r="O29" i="153"/>
  <c r="O28" i="153"/>
  <c r="O27" i="153"/>
  <c r="N29" i="153"/>
  <c r="N28" i="153"/>
  <c r="N27" i="153"/>
  <c r="P22" i="153"/>
  <c r="P21" i="153"/>
  <c r="P20" i="153"/>
  <c r="O22" i="153"/>
  <c r="O21" i="153"/>
  <c r="O20" i="153"/>
  <c r="N22" i="153"/>
  <c r="N21" i="153"/>
  <c r="N20" i="153"/>
  <c r="P18" i="153"/>
  <c r="O18" i="153"/>
  <c r="N18" i="153"/>
  <c r="E28" i="183"/>
  <c r="E26" i="183"/>
  <c r="E24" i="183"/>
  <c r="E22" i="183"/>
  <c r="A104" i="172" l="1"/>
  <c r="A15" i="144" l="1"/>
  <c r="F26" i="140"/>
  <c r="F25" i="140"/>
  <c r="F24" i="140"/>
  <c r="A33" i="144"/>
  <c r="F17" i="140"/>
  <c r="I47" i="126" s="1"/>
  <c r="A30" i="140"/>
  <c r="A31" i="140"/>
  <c r="A32" i="140"/>
  <c r="A33" i="140"/>
  <c r="A34" i="140"/>
  <c r="A35" i="140"/>
  <c r="A36" i="140"/>
  <c r="A23" i="140"/>
  <c r="A24" i="140"/>
  <c r="A25" i="140"/>
  <c r="A26" i="140"/>
  <c r="A38" i="116"/>
  <c r="A36" i="116"/>
  <c r="A37" i="116"/>
  <c r="A39" i="116"/>
  <c r="A29" i="116"/>
  <c r="A30" i="116"/>
  <c r="A31" i="116"/>
  <c r="A32" i="116"/>
  <c r="A33" i="116"/>
  <c r="A13" i="143"/>
  <c r="A15" i="143"/>
  <c r="A16" i="143"/>
  <c r="A63" i="143"/>
  <c r="A64" i="143"/>
  <c r="A56" i="143"/>
  <c r="A57" i="143"/>
  <c r="A58" i="143"/>
  <c r="A41" i="143"/>
  <c r="A36" i="143"/>
  <c r="A37" i="143"/>
  <c r="A31" i="143"/>
  <c r="A32" i="143"/>
  <c r="A30" i="143"/>
  <c r="A45" i="168"/>
  <c r="A43" i="168"/>
  <c r="A44" i="168"/>
  <c r="A39" i="168"/>
  <c r="A40" i="168"/>
  <c r="A41" i="168"/>
  <c r="A42" i="168"/>
  <c r="A19" i="168"/>
  <c r="A20" i="168"/>
  <c r="A21" i="168"/>
  <c r="A22" i="168"/>
  <c r="A23" i="168"/>
  <c r="F2" i="126"/>
  <c r="F2" i="182"/>
  <c r="A26" i="182"/>
  <c r="A34" i="124"/>
  <c r="A33" i="124"/>
  <c r="A65" i="150"/>
  <c r="A66" i="150"/>
  <c r="A67" i="150"/>
  <c r="A68" i="150"/>
  <c r="A69" i="150"/>
  <c r="A56" i="150"/>
  <c r="A57" i="150"/>
  <c r="A58" i="150"/>
  <c r="A59" i="150"/>
  <c r="A60" i="150"/>
  <c r="A61" i="150"/>
  <c r="A62" i="150"/>
  <c r="A63" i="150"/>
  <c r="A50" i="150"/>
  <c r="A51" i="150"/>
  <c r="A52" i="150"/>
  <c r="A53" i="150"/>
  <c r="A54" i="150"/>
  <c r="A45" i="150"/>
  <c r="A46" i="150"/>
  <c r="A47" i="150"/>
  <c r="A29" i="150"/>
  <c r="A30" i="150"/>
  <c r="A20" i="183"/>
  <c r="A26" i="153"/>
  <c r="A27" i="153"/>
  <c r="A28" i="153"/>
  <c r="A29" i="153"/>
  <c r="A19" i="153"/>
  <c r="A20" i="153"/>
  <c r="A21" i="153"/>
  <c r="A22" i="153"/>
  <c r="A29" i="155"/>
  <c r="A30" i="155"/>
  <c r="A31" i="155"/>
  <c r="A25" i="155"/>
  <c r="A26" i="155"/>
  <c r="A27" i="155"/>
  <c r="A28" i="155"/>
  <c r="A15" i="155"/>
  <c r="A16" i="155"/>
  <c r="A17" i="155"/>
  <c r="A18" i="155"/>
  <c r="A19" i="155"/>
  <c r="A20" i="155"/>
  <c r="A21" i="155"/>
  <c r="A144" i="169"/>
  <c r="A145" i="169"/>
  <c r="A86" i="169"/>
  <c r="A77" i="169"/>
  <c r="A115" i="172"/>
  <c r="A114" i="172"/>
  <c r="A35" i="172"/>
  <c r="A36" i="172"/>
  <c r="A37" i="172"/>
  <c r="A31" i="172"/>
  <c r="A32" i="172"/>
  <c r="A33" i="172"/>
  <c r="A34" i="172"/>
  <c r="A24" i="172"/>
  <c r="A25" i="172"/>
  <c r="A26" i="172"/>
  <c r="A27" i="172"/>
  <c r="A62" i="203"/>
  <c r="A28" i="203"/>
  <c r="A14" i="206"/>
  <c r="A15" i="206"/>
  <c r="A16" i="206"/>
  <c r="I2" i="208"/>
  <c r="V143" i="144"/>
  <c r="W143" i="144"/>
  <c r="X143" i="144"/>
  <c r="V144" i="144"/>
  <c r="W144" i="144"/>
  <c r="X144" i="144"/>
  <c r="V145" i="144"/>
  <c r="W145" i="144"/>
  <c r="X145" i="144"/>
  <c r="V146" i="144"/>
  <c r="W146" i="144"/>
  <c r="X146" i="144"/>
  <c r="V147" i="144"/>
  <c r="W147" i="144"/>
  <c r="X147" i="144"/>
  <c r="V149" i="144"/>
  <c r="W149" i="144"/>
  <c r="X149" i="144"/>
  <c r="V150" i="144"/>
  <c r="W150" i="144"/>
  <c r="X150" i="144"/>
  <c r="V151" i="144"/>
  <c r="W151" i="144"/>
  <c r="X151" i="144"/>
  <c r="V152" i="144"/>
  <c r="W152" i="144"/>
  <c r="X152" i="144"/>
  <c r="V153" i="144"/>
  <c r="W153" i="144"/>
  <c r="X153" i="144"/>
  <c r="V154" i="144"/>
  <c r="W154" i="144"/>
  <c r="X154" i="144"/>
  <c r="V156" i="144"/>
  <c r="W156" i="144"/>
  <c r="X156" i="144"/>
  <c r="U143" i="144"/>
  <c r="U144" i="144"/>
  <c r="U145" i="144"/>
  <c r="U146" i="144"/>
  <c r="U147" i="144"/>
  <c r="U149" i="144"/>
  <c r="U150" i="144"/>
  <c r="U151" i="144"/>
  <c r="U152" i="144"/>
  <c r="U153" i="144"/>
  <c r="U154" i="144"/>
  <c r="U156" i="144"/>
  <c r="T143" i="144"/>
  <c r="T144" i="144"/>
  <c r="T145" i="144"/>
  <c r="T146" i="144"/>
  <c r="T147" i="144"/>
  <c r="T149" i="144"/>
  <c r="T150" i="144"/>
  <c r="T151" i="144"/>
  <c r="T152" i="144"/>
  <c r="T153" i="144"/>
  <c r="T154" i="144"/>
  <c r="T156" i="144"/>
  <c r="S143" i="144"/>
  <c r="S144" i="144"/>
  <c r="S145" i="144"/>
  <c r="S146" i="144"/>
  <c r="S147" i="144"/>
  <c r="S149" i="144"/>
  <c r="S150" i="144"/>
  <c r="S151" i="144"/>
  <c r="S152" i="144"/>
  <c r="S153" i="144"/>
  <c r="S154" i="144"/>
  <c r="S156" i="144"/>
  <c r="R143" i="144"/>
  <c r="R144" i="144"/>
  <c r="R145" i="144"/>
  <c r="R146" i="144"/>
  <c r="R147" i="144"/>
  <c r="R149" i="144"/>
  <c r="R150" i="144"/>
  <c r="R151" i="144"/>
  <c r="R152" i="144"/>
  <c r="R153" i="144"/>
  <c r="R154" i="144"/>
  <c r="R156" i="144"/>
  <c r="Q143" i="144"/>
  <c r="Q144" i="144"/>
  <c r="Q145" i="144"/>
  <c r="Q146" i="144"/>
  <c r="Q147" i="144"/>
  <c r="Q149" i="144"/>
  <c r="Q150" i="144"/>
  <c r="Q151" i="144"/>
  <c r="Q152" i="144"/>
  <c r="Q153" i="144"/>
  <c r="Q154" i="144"/>
  <c r="Q156" i="144"/>
  <c r="P143" i="144"/>
  <c r="P144" i="144"/>
  <c r="P145" i="144"/>
  <c r="P146" i="144"/>
  <c r="P147" i="144"/>
  <c r="P149" i="144"/>
  <c r="P150" i="144"/>
  <c r="P151" i="144"/>
  <c r="P152" i="144"/>
  <c r="P153" i="144"/>
  <c r="P154" i="144"/>
  <c r="P156" i="144"/>
  <c r="O156" i="144"/>
  <c r="F23" i="140" l="1"/>
  <c r="M20" i="153"/>
  <c r="M27" i="153"/>
  <c r="M21" i="153"/>
  <c r="M22" i="153"/>
  <c r="O143" i="144"/>
  <c r="O144" i="144"/>
  <c r="O145" i="144"/>
  <c r="O146" i="144"/>
  <c r="O147" i="144"/>
  <c r="O151" i="144"/>
  <c r="P148" i="144"/>
  <c r="R148" i="144"/>
  <c r="S148" i="144"/>
  <c r="T148" i="144"/>
  <c r="V148" i="144"/>
  <c r="X148" i="144"/>
  <c r="P142" i="144"/>
  <c r="Q142" i="144"/>
  <c r="R142" i="144"/>
  <c r="U142" i="144"/>
  <c r="V142" i="144"/>
  <c r="W142" i="144"/>
  <c r="E123" i="144"/>
  <c r="X109" i="144"/>
  <c r="X110" i="144"/>
  <c r="X111" i="144"/>
  <c r="X112" i="144"/>
  <c r="X113" i="144"/>
  <c r="X115" i="144"/>
  <c r="X116" i="144"/>
  <c r="X117" i="144"/>
  <c r="X118" i="144"/>
  <c r="X119" i="144"/>
  <c r="X120" i="144"/>
  <c r="X122" i="144"/>
  <c r="W109" i="144"/>
  <c r="W110" i="144"/>
  <c r="W111" i="144"/>
  <c r="W112" i="144"/>
  <c r="W113" i="144"/>
  <c r="W115" i="144"/>
  <c r="W116" i="144"/>
  <c r="W117" i="144"/>
  <c r="W118" i="144"/>
  <c r="W119" i="144"/>
  <c r="W120" i="144"/>
  <c r="W122" i="144"/>
  <c r="V109" i="144"/>
  <c r="V110" i="144"/>
  <c r="V111" i="144"/>
  <c r="V112" i="144"/>
  <c r="V113" i="144"/>
  <c r="V115" i="144"/>
  <c r="V116" i="144"/>
  <c r="V117" i="144"/>
  <c r="V118" i="144"/>
  <c r="V119" i="144"/>
  <c r="V120" i="144"/>
  <c r="V122" i="144"/>
  <c r="U109" i="144"/>
  <c r="U110" i="144"/>
  <c r="U111" i="144"/>
  <c r="U112" i="144"/>
  <c r="U113" i="144"/>
  <c r="U115" i="144"/>
  <c r="U116" i="144"/>
  <c r="U117" i="144"/>
  <c r="U118" i="144"/>
  <c r="U119" i="144"/>
  <c r="U120" i="144"/>
  <c r="U122" i="144"/>
  <c r="T109" i="144"/>
  <c r="T110" i="144"/>
  <c r="T111" i="144"/>
  <c r="T112" i="144"/>
  <c r="T113" i="144"/>
  <c r="T115" i="144"/>
  <c r="T116" i="144"/>
  <c r="T117" i="144"/>
  <c r="T118" i="144"/>
  <c r="T119" i="144"/>
  <c r="T120" i="144"/>
  <c r="T122" i="144"/>
  <c r="Q109" i="144"/>
  <c r="R109" i="144"/>
  <c r="S109" i="144"/>
  <c r="Q110" i="144"/>
  <c r="R110" i="144"/>
  <c r="S110" i="144"/>
  <c r="Q111" i="144"/>
  <c r="R111" i="144"/>
  <c r="S111" i="144"/>
  <c r="Q112" i="144"/>
  <c r="R112" i="144"/>
  <c r="S112" i="144"/>
  <c r="Q113" i="144"/>
  <c r="R113" i="144"/>
  <c r="S113" i="144"/>
  <c r="Q115" i="144"/>
  <c r="R115" i="144"/>
  <c r="S115" i="144"/>
  <c r="Q116" i="144"/>
  <c r="R116" i="144"/>
  <c r="S116" i="144"/>
  <c r="Q117" i="144"/>
  <c r="R117" i="144"/>
  <c r="S117" i="144"/>
  <c r="Q118" i="144"/>
  <c r="R118" i="144"/>
  <c r="S118" i="144"/>
  <c r="Q119" i="144"/>
  <c r="R119" i="144"/>
  <c r="S119" i="144"/>
  <c r="Q120" i="144"/>
  <c r="R120" i="144"/>
  <c r="S120" i="144"/>
  <c r="Q122" i="144"/>
  <c r="R122" i="144"/>
  <c r="S122" i="144"/>
  <c r="P109" i="144"/>
  <c r="P110" i="144"/>
  <c r="P111" i="144"/>
  <c r="P112" i="144"/>
  <c r="P113" i="144"/>
  <c r="P115" i="144"/>
  <c r="P116" i="144"/>
  <c r="P117" i="144"/>
  <c r="P118" i="144"/>
  <c r="P119" i="144"/>
  <c r="P120" i="144"/>
  <c r="P122" i="144"/>
  <c r="O105" i="144"/>
  <c r="O106" i="144"/>
  <c r="O107" i="144"/>
  <c r="O109" i="144"/>
  <c r="O110" i="144"/>
  <c r="O111" i="144"/>
  <c r="O112" i="144"/>
  <c r="O113" i="144"/>
  <c r="O115" i="144"/>
  <c r="O116" i="144"/>
  <c r="O117" i="144"/>
  <c r="O118" i="144"/>
  <c r="O119" i="144"/>
  <c r="O120" i="144"/>
  <c r="O122" i="144"/>
  <c r="O104" i="144"/>
  <c r="Q114" i="144"/>
  <c r="W114" i="144"/>
  <c r="X114" i="144"/>
  <c r="F33" i="140"/>
  <c r="Q108" i="144"/>
  <c r="R108" i="144"/>
  <c r="U108" i="144"/>
  <c r="H77" i="144"/>
  <c r="H78" i="144"/>
  <c r="H79" i="144"/>
  <c r="H80" i="144"/>
  <c r="H81" i="144"/>
  <c r="H83" i="144"/>
  <c r="H84" i="144"/>
  <c r="H85" i="144"/>
  <c r="H86" i="144"/>
  <c r="H87" i="144"/>
  <c r="H88" i="144"/>
  <c r="H51" i="144"/>
  <c r="H52" i="144"/>
  <c r="H53" i="144"/>
  <c r="H54" i="144"/>
  <c r="H55" i="144"/>
  <c r="H56" i="144"/>
  <c r="H57" i="144"/>
  <c r="H58" i="144"/>
  <c r="H59" i="144"/>
  <c r="H60" i="144"/>
  <c r="H61" i="144"/>
  <c r="H62" i="144"/>
  <c r="H63" i="144"/>
  <c r="H50" i="144"/>
  <c r="G47" i="144"/>
  <c r="G48" i="144"/>
  <c r="G49" i="144"/>
  <c r="G50" i="144"/>
  <c r="G51" i="144"/>
  <c r="G52" i="144"/>
  <c r="G53" i="144"/>
  <c r="G54" i="144"/>
  <c r="G55" i="144"/>
  <c r="G56" i="144"/>
  <c r="G57" i="144"/>
  <c r="G58" i="144"/>
  <c r="G59" i="144"/>
  <c r="G60" i="144"/>
  <c r="G61" i="144"/>
  <c r="G62" i="144"/>
  <c r="G63" i="144"/>
  <c r="G46" i="144"/>
  <c r="F41" i="126"/>
  <c r="F40" i="126"/>
  <c r="F39" i="126"/>
  <c r="F38" i="126"/>
  <c r="F37" i="126"/>
  <c r="F35" i="126"/>
  <c r="F34" i="126"/>
  <c r="F33" i="126"/>
  <c r="F32" i="126"/>
  <c r="F31" i="126"/>
  <c r="F30" i="126"/>
  <c r="F29" i="126"/>
  <c r="G38" i="126"/>
  <c r="E40" i="126"/>
  <c r="I37" i="182"/>
  <c r="I38" i="182"/>
  <c r="I39" i="182"/>
  <c r="I40" i="182"/>
  <c r="I41" i="182"/>
  <c r="I42" i="182"/>
  <c r="I43" i="182"/>
  <c r="I44" i="182"/>
  <c r="I45" i="182"/>
  <c r="I46" i="182"/>
  <c r="I47" i="182"/>
  <c r="I48" i="182"/>
  <c r="I49" i="182"/>
  <c r="I50" i="182"/>
  <c r="I51" i="182"/>
  <c r="I52" i="182"/>
  <c r="I53" i="182"/>
  <c r="I54" i="182"/>
  <c r="I36" i="182"/>
  <c r="H37" i="182"/>
  <c r="H38" i="182"/>
  <c r="H39" i="182"/>
  <c r="H40" i="182"/>
  <c r="H41" i="182"/>
  <c r="H42" i="182"/>
  <c r="H43" i="182"/>
  <c r="H44" i="182"/>
  <c r="H45" i="182"/>
  <c r="H46" i="182"/>
  <c r="H47" i="182"/>
  <c r="H48" i="182"/>
  <c r="H49" i="182"/>
  <c r="H50" i="182"/>
  <c r="H51" i="182"/>
  <c r="H52" i="182"/>
  <c r="H53" i="182"/>
  <c r="H54" i="182"/>
  <c r="H36" i="182"/>
  <c r="F35" i="182"/>
  <c r="G35" i="182"/>
  <c r="N123" i="213" s="1"/>
  <c r="H35" i="182"/>
  <c r="O123" i="213" s="1"/>
  <c r="I35" i="182"/>
  <c r="Q123" i="213" s="1"/>
  <c r="F37" i="182"/>
  <c r="F38" i="182"/>
  <c r="F39" i="182"/>
  <c r="F40" i="182"/>
  <c r="F41" i="182"/>
  <c r="F42" i="182"/>
  <c r="F43" i="182"/>
  <c r="F44" i="182"/>
  <c r="F45" i="182"/>
  <c r="F46" i="182"/>
  <c r="F47" i="182"/>
  <c r="F48" i="182"/>
  <c r="F49" i="182"/>
  <c r="F50" i="182"/>
  <c r="F51" i="182"/>
  <c r="F52" i="182"/>
  <c r="F53" i="182"/>
  <c r="F54" i="182"/>
  <c r="F36" i="182"/>
  <c r="E36" i="182"/>
  <c r="G46" i="182"/>
  <c r="E46" i="182"/>
  <c r="D46" i="182"/>
  <c r="C46" i="182"/>
  <c r="C47" i="182"/>
  <c r="C48" i="182"/>
  <c r="C49" i="182"/>
  <c r="C50" i="182"/>
  <c r="C51" i="182"/>
  <c r="C52" i="182"/>
  <c r="C53" i="182"/>
  <c r="C54" i="182"/>
  <c r="C37" i="182"/>
  <c r="C38" i="182"/>
  <c r="C39" i="182"/>
  <c r="C40" i="182"/>
  <c r="C41" i="182"/>
  <c r="C42" i="182"/>
  <c r="C43" i="182"/>
  <c r="C44" i="182"/>
  <c r="C45" i="182"/>
  <c r="C36" i="182"/>
  <c r="K76" i="152"/>
  <c r="L76" i="152"/>
  <c r="M76" i="152"/>
  <c r="K66" i="152"/>
  <c r="L66" i="152"/>
  <c r="M66" i="152"/>
  <c r="K67" i="152"/>
  <c r="L67" i="152"/>
  <c r="M67" i="152"/>
  <c r="K68" i="152"/>
  <c r="L68" i="152"/>
  <c r="M68" i="152"/>
  <c r="K69" i="152"/>
  <c r="L69" i="152"/>
  <c r="M69" i="152"/>
  <c r="K70" i="152"/>
  <c r="L70" i="152"/>
  <c r="M70" i="152"/>
  <c r="K71" i="152"/>
  <c r="L71" i="152"/>
  <c r="M71" i="152"/>
  <c r="K72" i="152"/>
  <c r="L72" i="152"/>
  <c r="M72" i="152"/>
  <c r="K73" i="152"/>
  <c r="L73" i="152"/>
  <c r="M73" i="152"/>
  <c r="K74" i="152"/>
  <c r="L74" i="152"/>
  <c r="M74" i="152"/>
  <c r="K75" i="152"/>
  <c r="L75" i="152"/>
  <c r="M75" i="152"/>
  <c r="M65" i="152"/>
  <c r="L65" i="152"/>
  <c r="K65" i="152"/>
  <c r="K52" i="152"/>
  <c r="L52" i="152"/>
  <c r="M52" i="152"/>
  <c r="K53" i="152"/>
  <c r="L53" i="152"/>
  <c r="M53" i="152"/>
  <c r="K54" i="152"/>
  <c r="L54" i="152"/>
  <c r="M54" i="152"/>
  <c r="K55" i="152"/>
  <c r="L55" i="152"/>
  <c r="M55" i="152"/>
  <c r="K56" i="152"/>
  <c r="L56" i="152"/>
  <c r="M56" i="152"/>
  <c r="K58" i="152"/>
  <c r="L58" i="152"/>
  <c r="M58" i="152"/>
  <c r="K59" i="152"/>
  <c r="L59" i="152"/>
  <c r="M59" i="152"/>
  <c r="K60" i="152"/>
  <c r="L60" i="152"/>
  <c r="M60" i="152"/>
  <c r="K61" i="152"/>
  <c r="L61" i="152"/>
  <c r="M61" i="152"/>
  <c r="K62" i="152"/>
  <c r="L62" i="152"/>
  <c r="M62" i="152"/>
  <c r="K63" i="152"/>
  <c r="L63" i="152"/>
  <c r="M63" i="152"/>
  <c r="F57" i="182" l="1"/>
  <c r="P123" i="213"/>
  <c r="O94" i="213" s="1"/>
  <c r="G93" i="213" s="1"/>
  <c r="E77" i="194" s="1"/>
  <c r="M29" i="153"/>
  <c r="K50" i="126"/>
  <c r="I55" i="182"/>
  <c r="I59" i="182"/>
  <c r="W121" i="144"/>
  <c r="O114" i="144"/>
  <c r="V114" i="144"/>
  <c r="S142" i="144"/>
  <c r="T108" i="144"/>
  <c r="U114" i="144"/>
  <c r="W148" i="144"/>
  <c r="P114" i="144"/>
  <c r="S108" i="144"/>
  <c r="T114" i="144"/>
  <c r="W108" i="144"/>
  <c r="X121" i="144"/>
  <c r="O153" i="144"/>
  <c r="O149" i="144"/>
  <c r="R114" i="144"/>
  <c r="P108" i="144"/>
  <c r="O154" i="144"/>
  <c r="S114" i="144"/>
  <c r="V108" i="144"/>
  <c r="X142" i="144"/>
  <c r="T142" i="144"/>
  <c r="U148" i="144"/>
  <c r="Q148" i="144"/>
  <c r="O152" i="144"/>
  <c r="G23" i="140"/>
  <c r="F55" i="182"/>
  <c r="C55" i="182"/>
  <c r="H55" i="182"/>
  <c r="H58" i="182"/>
  <c r="O150" i="144"/>
  <c r="F28" i="126"/>
  <c r="F36" i="126"/>
  <c r="F36" i="140"/>
  <c r="X108" i="144"/>
  <c r="P31" i="146"/>
  <c r="P23" i="146"/>
  <c r="P15" i="146"/>
  <c r="Y32" i="146"/>
  <c r="Y24" i="146"/>
  <c r="Y16" i="146"/>
  <c r="X32" i="146"/>
  <c r="X31" i="146"/>
  <c r="X24" i="146"/>
  <c r="X23" i="146"/>
  <c r="X16" i="146"/>
  <c r="X15" i="146"/>
  <c r="V22" i="146"/>
  <c r="V28" i="146"/>
  <c r="R26" i="146"/>
  <c r="R35" i="146"/>
  <c r="Q16" i="146"/>
  <c r="R16" i="146"/>
  <c r="T16" i="146"/>
  <c r="U15" i="146"/>
  <c r="V15" i="146"/>
  <c r="W15" i="146"/>
  <c r="O16" i="146"/>
  <c r="L122" i="178"/>
  <c r="L114" i="178"/>
  <c r="L107" i="178"/>
  <c r="K123" i="178"/>
  <c r="K124" i="178"/>
  <c r="K125" i="178"/>
  <c r="K126" i="178"/>
  <c r="K127" i="178"/>
  <c r="K128" i="178"/>
  <c r="K122" i="178"/>
  <c r="K108" i="178"/>
  <c r="K109" i="178"/>
  <c r="K110" i="178"/>
  <c r="K111" i="178"/>
  <c r="K112" i="178"/>
  <c r="K113" i="178"/>
  <c r="K114" i="178"/>
  <c r="K115" i="178"/>
  <c r="K116" i="178"/>
  <c r="K117" i="178"/>
  <c r="K118" i="178"/>
  <c r="K119" i="178"/>
  <c r="K120" i="178"/>
  <c r="K107" i="178"/>
  <c r="J123" i="178"/>
  <c r="J124" i="178"/>
  <c r="J125" i="178"/>
  <c r="J126" i="178"/>
  <c r="J127" i="178"/>
  <c r="J128" i="178"/>
  <c r="J122" i="178"/>
  <c r="J108" i="178"/>
  <c r="J109" i="178"/>
  <c r="J110" i="178"/>
  <c r="J111" i="178"/>
  <c r="J112" i="178"/>
  <c r="J113" i="178"/>
  <c r="J114" i="178"/>
  <c r="J115" i="178"/>
  <c r="J116" i="178"/>
  <c r="J117" i="178"/>
  <c r="J118" i="178"/>
  <c r="J119" i="178"/>
  <c r="J120" i="178"/>
  <c r="J107" i="178"/>
  <c r="J93" i="178"/>
  <c r="J87" i="178"/>
  <c r="J88" i="178"/>
  <c r="J89" i="178"/>
  <c r="J90" i="178"/>
  <c r="J91" i="178"/>
  <c r="J92" i="178"/>
  <c r="J86" i="178"/>
  <c r="I87" i="178"/>
  <c r="I88" i="178"/>
  <c r="I89" i="178"/>
  <c r="I90" i="178"/>
  <c r="I91" i="178"/>
  <c r="I92" i="178"/>
  <c r="I86" i="178"/>
  <c r="H87" i="178"/>
  <c r="H88" i="178"/>
  <c r="H89" i="178"/>
  <c r="H90" i="178"/>
  <c r="H91" i="178"/>
  <c r="H92" i="178"/>
  <c r="H86" i="178"/>
  <c r="G48" i="150"/>
  <c r="G72" i="150" s="1"/>
  <c r="H48" i="150"/>
  <c r="H72" i="150" s="1"/>
  <c r="I48" i="150"/>
  <c r="I72" i="150" s="1"/>
  <c r="J48" i="150"/>
  <c r="J72" i="150" s="1"/>
  <c r="K48" i="150"/>
  <c r="K72" i="150" s="1"/>
  <c r="L48" i="150"/>
  <c r="L72" i="150" s="1"/>
  <c r="N48" i="150"/>
  <c r="O48" i="150"/>
  <c r="F48" i="150"/>
  <c r="F72" i="150" s="1"/>
  <c r="M29" i="150"/>
  <c r="M30" i="150"/>
  <c r="M45" i="150"/>
  <c r="M46" i="150"/>
  <c r="M47" i="150"/>
  <c r="M50" i="150"/>
  <c r="M51" i="150"/>
  <c r="M52" i="150"/>
  <c r="M53" i="150"/>
  <c r="M54" i="150"/>
  <c r="M56" i="150"/>
  <c r="M57" i="150"/>
  <c r="M58" i="150"/>
  <c r="M59" i="150"/>
  <c r="M60" i="150"/>
  <c r="M61" i="150"/>
  <c r="M62" i="150"/>
  <c r="M63" i="150"/>
  <c r="X38" i="150"/>
  <c r="W38" i="150"/>
  <c r="X32" i="150"/>
  <c r="W32" i="150"/>
  <c r="K31" i="150"/>
  <c r="K71" i="150" s="1"/>
  <c r="X22" i="150"/>
  <c r="W22" i="150"/>
  <c r="W16" i="150"/>
  <c r="N20" i="183"/>
  <c r="M20" i="183"/>
  <c r="L20" i="183"/>
  <c r="K20" i="183"/>
  <c r="J20" i="183"/>
  <c r="O26" i="153"/>
  <c r="P26" i="153"/>
  <c r="N26" i="153"/>
  <c r="P19" i="153"/>
  <c r="O19" i="153"/>
  <c r="N19" i="153"/>
  <c r="F23" i="153"/>
  <c r="G23" i="153"/>
  <c r="H23" i="153"/>
  <c r="I23" i="153"/>
  <c r="AA31" i="155"/>
  <c r="Z31" i="155"/>
  <c r="Y31" i="155"/>
  <c r="X31" i="155"/>
  <c r="W31" i="155"/>
  <c r="V31" i="155"/>
  <c r="U31" i="155"/>
  <c r="T31" i="155"/>
  <c r="S31" i="155"/>
  <c r="AA30" i="155"/>
  <c r="Z30" i="155"/>
  <c r="Y30" i="155"/>
  <c r="X30" i="155"/>
  <c r="W30" i="155"/>
  <c r="V30" i="155"/>
  <c r="U30" i="155"/>
  <c r="T30" i="155"/>
  <c r="S30" i="155"/>
  <c r="R26" i="155"/>
  <c r="S26" i="155"/>
  <c r="T26" i="155"/>
  <c r="U26" i="155"/>
  <c r="V26" i="155"/>
  <c r="W26" i="155"/>
  <c r="X26" i="155"/>
  <c r="Y26" i="155"/>
  <c r="Z26" i="155"/>
  <c r="AA26" i="155"/>
  <c r="R27" i="155"/>
  <c r="S27" i="155"/>
  <c r="T27" i="155"/>
  <c r="U27" i="155"/>
  <c r="V27" i="155"/>
  <c r="W27" i="155"/>
  <c r="X27" i="155"/>
  <c r="Y27" i="155"/>
  <c r="Z27" i="155"/>
  <c r="AA27" i="155"/>
  <c r="R28" i="155"/>
  <c r="S28" i="155"/>
  <c r="T28" i="155"/>
  <c r="U28" i="155"/>
  <c r="V28" i="155"/>
  <c r="W28" i="155"/>
  <c r="X28" i="155"/>
  <c r="Y28" i="155"/>
  <c r="Z28" i="155"/>
  <c r="AA28" i="155"/>
  <c r="R19" i="155"/>
  <c r="S19" i="155"/>
  <c r="T19" i="155"/>
  <c r="U19" i="155"/>
  <c r="V19" i="155"/>
  <c r="W19" i="155"/>
  <c r="X19" i="155"/>
  <c r="Y19" i="155"/>
  <c r="Z19" i="155"/>
  <c r="AA19" i="155"/>
  <c r="R20" i="155"/>
  <c r="S20" i="155"/>
  <c r="T20" i="155"/>
  <c r="U20" i="155"/>
  <c r="V20" i="155"/>
  <c r="W20" i="155"/>
  <c r="X20" i="155"/>
  <c r="Y20" i="155"/>
  <c r="Z20" i="155"/>
  <c r="AA20" i="155"/>
  <c r="R21" i="155"/>
  <c r="S21" i="155"/>
  <c r="T21" i="155"/>
  <c r="U21" i="155"/>
  <c r="V21" i="155"/>
  <c r="W21" i="155"/>
  <c r="X21" i="155"/>
  <c r="Y21" i="155"/>
  <c r="Z21" i="155"/>
  <c r="AA21" i="155"/>
  <c r="AA17" i="155"/>
  <c r="Z17" i="155"/>
  <c r="Y17" i="155"/>
  <c r="X17" i="155"/>
  <c r="W17" i="155"/>
  <c r="V17" i="155"/>
  <c r="U17" i="155"/>
  <c r="T17" i="155"/>
  <c r="S17" i="155"/>
  <c r="R17" i="155"/>
  <c r="AA18" i="155"/>
  <c r="S18" i="155"/>
  <c r="T18" i="155"/>
  <c r="U18" i="155"/>
  <c r="V18" i="155"/>
  <c r="W18" i="155"/>
  <c r="X18" i="155"/>
  <c r="Y18" i="155"/>
  <c r="R18" i="155"/>
  <c r="AA29" i="155"/>
  <c r="S29" i="155"/>
  <c r="T29" i="155"/>
  <c r="U29" i="155"/>
  <c r="V29" i="155"/>
  <c r="W29" i="155"/>
  <c r="X29" i="155"/>
  <c r="Y29" i="155"/>
  <c r="Z29" i="155"/>
  <c r="U25" i="155"/>
  <c r="V25" i="155"/>
  <c r="W25" i="155"/>
  <c r="Y25" i="155"/>
  <c r="Z25" i="155"/>
  <c r="AA25" i="155"/>
  <c r="T25" i="155"/>
  <c r="S25" i="155"/>
  <c r="R25" i="155"/>
  <c r="V58" i="150" l="1"/>
  <c r="Y58" i="150"/>
  <c r="V29" i="150"/>
  <c r="Y29" i="150"/>
  <c r="V61" i="150"/>
  <c r="Y61" i="150"/>
  <c r="V57" i="150"/>
  <c r="Y57" i="150"/>
  <c r="V52" i="150"/>
  <c r="Y52" i="150"/>
  <c r="V62" i="150"/>
  <c r="Y62" i="150"/>
  <c r="V53" i="150"/>
  <c r="Y53" i="150"/>
  <c r="V47" i="150"/>
  <c r="Y47" i="150"/>
  <c r="V60" i="150"/>
  <c r="Y60" i="150"/>
  <c r="V56" i="150"/>
  <c r="Y56" i="150"/>
  <c r="V51" i="150"/>
  <c r="Y51" i="150"/>
  <c r="V45" i="150"/>
  <c r="Y45" i="150"/>
  <c r="V59" i="150"/>
  <c r="Y59" i="150"/>
  <c r="V54" i="150"/>
  <c r="Y54" i="150"/>
  <c r="V50" i="150"/>
  <c r="Y50" i="150"/>
  <c r="V30" i="150"/>
  <c r="Y30" i="150"/>
  <c r="N99" i="178"/>
  <c r="G98" i="178" s="1"/>
  <c r="E43" i="194" s="1"/>
  <c r="V63" i="150"/>
  <c r="Y63" i="150"/>
  <c r="V46" i="150"/>
  <c r="M71" i="150"/>
  <c r="Y46" i="150"/>
  <c r="X25" i="155"/>
  <c r="Z18" i="155"/>
  <c r="M19" i="153"/>
  <c r="L31" i="150"/>
  <c r="L71" i="150" s="1"/>
  <c r="G70" i="150"/>
  <c r="X48" i="150"/>
  <c r="O72" i="150"/>
  <c r="X16" i="150"/>
  <c r="W48" i="150"/>
  <c r="N72" i="150"/>
  <c r="I70" i="150"/>
  <c r="F70" i="150"/>
  <c r="N79" i="178"/>
  <c r="G78" i="178" s="1"/>
  <c r="E42" i="194" s="1"/>
  <c r="V38" i="146"/>
  <c r="V19" i="146"/>
  <c r="V35" i="146"/>
  <c r="W31" i="146"/>
  <c r="W24" i="146"/>
  <c r="R34" i="146"/>
  <c r="R22" i="146"/>
  <c r="W36" i="146"/>
  <c r="V34" i="146"/>
  <c r="V31" i="146"/>
  <c r="W27" i="146"/>
  <c r="V24" i="146"/>
  <c r="W20" i="146"/>
  <c r="V18" i="146"/>
  <c r="R30" i="146"/>
  <c r="R19" i="146"/>
  <c r="V36" i="146"/>
  <c r="W32" i="146"/>
  <c r="V30" i="146"/>
  <c r="V27" i="146"/>
  <c r="W23" i="146"/>
  <c r="V20" i="146"/>
  <c r="W16" i="146"/>
  <c r="R38" i="146"/>
  <c r="R27" i="146"/>
  <c r="R18" i="146"/>
  <c r="W35" i="146"/>
  <c r="V32" i="146"/>
  <c r="W28" i="146"/>
  <c r="V26" i="146"/>
  <c r="V23" i="146"/>
  <c r="W19" i="146"/>
  <c r="V16" i="146"/>
  <c r="Q35" i="146"/>
  <c r="Q30" i="146"/>
  <c r="Q25" i="146"/>
  <c r="Q19" i="146"/>
  <c r="U37" i="146"/>
  <c r="U33" i="146"/>
  <c r="U29" i="146"/>
  <c r="U25" i="146"/>
  <c r="U21" i="146"/>
  <c r="U17" i="146"/>
  <c r="Q15" i="146"/>
  <c r="Q34" i="146"/>
  <c r="Q29" i="146"/>
  <c r="Q23" i="146"/>
  <c r="Q18" i="146"/>
  <c r="U38" i="146"/>
  <c r="U34" i="146"/>
  <c r="U30" i="146"/>
  <c r="U26" i="146"/>
  <c r="U22" i="146"/>
  <c r="U18" i="146"/>
  <c r="Q38" i="146"/>
  <c r="Q33" i="146"/>
  <c r="Q27" i="146"/>
  <c r="Q22" i="146"/>
  <c r="Q17" i="146"/>
  <c r="W37" i="146"/>
  <c r="U35" i="146"/>
  <c r="W33" i="146"/>
  <c r="U31" i="146"/>
  <c r="W29" i="146"/>
  <c r="U27" i="146"/>
  <c r="W25" i="146"/>
  <c r="U23" i="146"/>
  <c r="W21" i="146"/>
  <c r="U19" i="146"/>
  <c r="W17" i="146"/>
  <c r="Q37" i="146"/>
  <c r="Q31" i="146"/>
  <c r="Q26" i="146"/>
  <c r="Q21" i="146"/>
  <c r="R15" i="146"/>
  <c r="R31" i="146"/>
  <c r="R23" i="146"/>
  <c r="W38" i="146"/>
  <c r="V37" i="146"/>
  <c r="U36" i="146"/>
  <c r="W34" i="146"/>
  <c r="V33" i="146"/>
  <c r="U32" i="146"/>
  <c r="W30" i="146"/>
  <c r="V29" i="146"/>
  <c r="U28" i="146"/>
  <c r="W26" i="146"/>
  <c r="V25" i="146"/>
  <c r="U24" i="146"/>
  <c r="W22" i="146"/>
  <c r="V21" i="146"/>
  <c r="U20" i="146"/>
  <c r="W18" i="146"/>
  <c r="V17" i="146"/>
  <c r="U16" i="146"/>
  <c r="O15" i="146"/>
  <c r="O35" i="146"/>
  <c r="O31" i="146"/>
  <c r="O27" i="146"/>
  <c r="O23" i="146"/>
  <c r="O19" i="146"/>
  <c r="T15" i="146"/>
  <c r="O38" i="146"/>
  <c r="O34" i="146"/>
  <c r="O30" i="146"/>
  <c r="O26" i="146"/>
  <c r="O22" i="146"/>
  <c r="O18" i="146"/>
  <c r="O37" i="146"/>
  <c r="O33" i="146"/>
  <c r="O29" i="146"/>
  <c r="O25" i="146"/>
  <c r="O21" i="146"/>
  <c r="O17" i="146"/>
  <c r="R37" i="146"/>
  <c r="R33" i="146"/>
  <c r="R29" i="146"/>
  <c r="R25" i="146"/>
  <c r="R21" i="146"/>
  <c r="R17" i="146"/>
  <c r="O36" i="146"/>
  <c r="O32" i="146"/>
  <c r="O28" i="146"/>
  <c r="O24" i="146"/>
  <c r="O20" i="146"/>
  <c r="Q36" i="146"/>
  <c r="Q32" i="146"/>
  <c r="Q28" i="146"/>
  <c r="Q24" i="146"/>
  <c r="Q20" i="146"/>
  <c r="R36" i="146"/>
  <c r="R32" i="146"/>
  <c r="R28" i="146"/>
  <c r="R24" i="146"/>
  <c r="R20" i="146"/>
  <c r="T38" i="146"/>
  <c r="T37" i="146"/>
  <c r="T36" i="146"/>
  <c r="T35" i="146"/>
  <c r="T34" i="146"/>
  <c r="T33" i="146"/>
  <c r="T32" i="146"/>
  <c r="T31" i="146"/>
  <c r="T30" i="146"/>
  <c r="T29" i="146"/>
  <c r="T28" i="146"/>
  <c r="T27" i="146"/>
  <c r="T26" i="146"/>
  <c r="T25" i="146"/>
  <c r="T24" i="146"/>
  <c r="T23" i="146"/>
  <c r="T22" i="146"/>
  <c r="T21" i="146"/>
  <c r="T20" i="146"/>
  <c r="T19" i="146"/>
  <c r="T18" i="146"/>
  <c r="T17" i="146"/>
  <c r="Z68" i="150"/>
  <c r="O142" i="144"/>
  <c r="F35" i="140"/>
  <c r="O108" i="144"/>
  <c r="F32" i="140"/>
  <c r="U121" i="144"/>
  <c r="W155" i="144"/>
  <c r="S121" i="144"/>
  <c r="Q155" i="144"/>
  <c r="T155" i="144"/>
  <c r="P121" i="144"/>
  <c r="R155" i="144"/>
  <c r="Q121" i="144"/>
  <c r="V121" i="144"/>
  <c r="S155" i="144"/>
  <c r="V155" i="144"/>
  <c r="U155" i="144"/>
  <c r="X155" i="144"/>
  <c r="R121" i="144"/>
  <c r="T121" i="144"/>
  <c r="O155" i="144"/>
  <c r="P155" i="144"/>
  <c r="O148" i="144"/>
  <c r="S15" i="146"/>
  <c r="S38" i="146"/>
  <c r="S34" i="146"/>
  <c r="S30" i="146"/>
  <c r="S26" i="146"/>
  <c r="S22" i="146"/>
  <c r="S18" i="146"/>
  <c r="S37" i="146"/>
  <c r="S33" i="146"/>
  <c r="S29" i="146"/>
  <c r="S25" i="146"/>
  <c r="S21" i="146"/>
  <c r="S17" i="146"/>
  <c r="S36" i="146"/>
  <c r="S32" i="146"/>
  <c r="S28" i="146"/>
  <c r="S24" i="146"/>
  <c r="S20" i="146"/>
  <c r="S16" i="146"/>
  <c r="S35" i="146"/>
  <c r="S31" i="146"/>
  <c r="S27" i="146"/>
  <c r="S23" i="146"/>
  <c r="S19" i="146"/>
  <c r="J70" i="150"/>
  <c r="O31" i="150"/>
  <c r="O71" i="150" s="1"/>
  <c r="N31" i="150"/>
  <c r="N71" i="150" s="1"/>
  <c r="H15" i="169"/>
  <c r="G15" i="169"/>
  <c r="H42" i="169"/>
  <c r="G42" i="169"/>
  <c r="F30" i="140" l="1"/>
  <c r="F34" i="140"/>
  <c r="J64" i="150"/>
  <c r="G64" i="150"/>
  <c r="R64" i="150" s="1"/>
  <c r="W31" i="150"/>
  <c r="N70" i="150"/>
  <c r="O70" i="150"/>
  <c r="H64" i="150"/>
  <c r="H70" i="150"/>
  <c r="I64" i="150"/>
  <c r="O64" i="150"/>
  <c r="X64" i="150" s="1"/>
  <c r="X31" i="150"/>
  <c r="O121" i="144"/>
  <c r="M28" i="153"/>
  <c r="N64" i="150"/>
  <c r="W64" i="150" s="1"/>
  <c r="M26" i="153" l="1"/>
  <c r="G30" i="140"/>
  <c r="F111" i="172"/>
  <c r="F122" i="172"/>
  <c r="K17" i="202"/>
  <c r="N28" i="203"/>
  <c r="M28" i="203"/>
  <c r="L28" i="203"/>
  <c r="K28" i="203"/>
  <c r="J28" i="203"/>
  <c r="J26" i="203"/>
  <c r="J25" i="203"/>
  <c r="J24" i="203"/>
  <c r="J23" i="203"/>
  <c r="J22" i="203"/>
  <c r="J21" i="203"/>
  <c r="J19" i="203"/>
  <c r="J18" i="203"/>
  <c r="J17" i="203"/>
  <c r="J16" i="203"/>
  <c r="L44" i="206" l="1"/>
  <c r="L43" i="206"/>
  <c r="L42" i="206"/>
  <c r="L39" i="206"/>
  <c r="L38" i="206"/>
  <c r="L41" i="206"/>
  <c r="L37" i="206"/>
  <c r="L14" i="206"/>
  <c r="K14" i="206"/>
  <c r="L16" i="206"/>
  <c r="K16" i="206"/>
  <c r="J16" i="206"/>
  <c r="L15" i="206"/>
  <c r="K15" i="206"/>
  <c r="J15" i="206"/>
  <c r="I16" i="206"/>
  <c r="I14" i="206"/>
  <c r="I21" i="208"/>
  <c r="I20" i="208"/>
  <c r="J14" i="206" l="1"/>
  <c r="M14" i="206"/>
  <c r="I15" i="206"/>
  <c r="E14" i="124" l="1"/>
  <c r="F14" i="124"/>
  <c r="G14" i="124"/>
  <c r="A16" i="169"/>
  <c r="G16" i="169"/>
  <c r="H16" i="169"/>
  <c r="A28" i="172" l="1"/>
  <c r="E28" i="172"/>
  <c r="F28" i="172"/>
  <c r="N851" i="204" l="1"/>
  <c r="M851" i="204"/>
  <c r="K851" i="204"/>
  <c r="J851" i="204"/>
  <c r="N850" i="204"/>
  <c r="M850" i="204"/>
  <c r="K850" i="204"/>
  <c r="J850" i="204"/>
  <c r="N849" i="204"/>
  <c r="M849" i="204"/>
  <c r="K849" i="204"/>
  <c r="J849" i="204"/>
  <c r="N848" i="204"/>
  <c r="M848" i="204"/>
  <c r="K848" i="204"/>
  <c r="J848" i="204"/>
  <c r="N847" i="204"/>
  <c r="M847" i="204"/>
  <c r="K847" i="204"/>
  <c r="J847" i="204"/>
  <c r="N846" i="204"/>
  <c r="M846" i="204"/>
  <c r="K846" i="204"/>
  <c r="J846" i="204"/>
  <c r="N845" i="204"/>
  <c r="M845" i="204"/>
  <c r="K845" i="204"/>
  <c r="J845" i="204"/>
  <c r="N844" i="204"/>
  <c r="M844" i="204"/>
  <c r="K844" i="204"/>
  <c r="J844" i="204"/>
  <c r="N843" i="204"/>
  <c r="M843" i="204"/>
  <c r="K843" i="204"/>
  <c r="J843" i="204"/>
  <c r="N842" i="204"/>
  <c r="M842" i="204"/>
  <c r="K842" i="204"/>
  <c r="J842" i="204"/>
  <c r="N841" i="204"/>
  <c r="M841" i="204"/>
  <c r="K841" i="204"/>
  <c r="J841" i="204"/>
  <c r="N840" i="204"/>
  <c r="M840" i="204"/>
  <c r="K840" i="204"/>
  <c r="J840" i="204"/>
  <c r="N839" i="204"/>
  <c r="M839" i="204"/>
  <c r="K839" i="204"/>
  <c r="J839" i="204"/>
  <c r="N838" i="204"/>
  <c r="M838" i="204"/>
  <c r="K838" i="204"/>
  <c r="J838" i="204"/>
  <c r="N837" i="204"/>
  <c r="M837" i="204"/>
  <c r="K837" i="204"/>
  <c r="J837" i="204"/>
  <c r="N836" i="204"/>
  <c r="M836" i="204"/>
  <c r="K836" i="204"/>
  <c r="J836" i="204"/>
  <c r="N835" i="204"/>
  <c r="M835" i="204"/>
  <c r="K835" i="204"/>
  <c r="J835" i="204"/>
  <c r="N834" i="204"/>
  <c r="M834" i="204"/>
  <c r="K834" i="204"/>
  <c r="J834" i="204"/>
  <c r="N833" i="204"/>
  <c r="M833" i="204"/>
  <c r="K833" i="204"/>
  <c r="J833" i="204"/>
  <c r="N832" i="204"/>
  <c r="M832" i="204"/>
  <c r="K832" i="204"/>
  <c r="J832" i="204"/>
  <c r="N831" i="204"/>
  <c r="M831" i="204"/>
  <c r="K831" i="204"/>
  <c r="J831" i="204"/>
  <c r="N830" i="204"/>
  <c r="M830" i="204"/>
  <c r="K830" i="204"/>
  <c r="J830" i="204"/>
  <c r="N829" i="204"/>
  <c r="M829" i="204"/>
  <c r="K829" i="204"/>
  <c r="J829" i="204"/>
  <c r="N828" i="204"/>
  <c r="M828" i="204"/>
  <c r="K828" i="204"/>
  <c r="J828" i="204"/>
  <c r="N827" i="204"/>
  <c r="M827" i="204"/>
  <c r="K827" i="204"/>
  <c r="J827" i="204"/>
  <c r="N826" i="204"/>
  <c r="M826" i="204"/>
  <c r="K826" i="204"/>
  <c r="J826" i="204"/>
  <c r="N825" i="204"/>
  <c r="M825" i="204"/>
  <c r="K825" i="204"/>
  <c r="J825" i="204"/>
  <c r="N824" i="204"/>
  <c r="M824" i="204"/>
  <c r="K824" i="204"/>
  <c r="J824" i="204"/>
  <c r="N823" i="204"/>
  <c r="M823" i="204"/>
  <c r="K823" i="204"/>
  <c r="J823" i="204"/>
  <c r="N822" i="204"/>
  <c r="M822" i="204"/>
  <c r="K822" i="204"/>
  <c r="J822" i="204"/>
  <c r="N821" i="204"/>
  <c r="M821" i="204"/>
  <c r="K821" i="204"/>
  <c r="J821" i="204"/>
  <c r="N820" i="204"/>
  <c r="M820" i="204"/>
  <c r="K820" i="204"/>
  <c r="J820" i="204"/>
  <c r="N819" i="204"/>
  <c r="M819" i="204"/>
  <c r="K819" i="204"/>
  <c r="J819" i="204"/>
  <c r="N818" i="204"/>
  <c r="M818" i="204"/>
  <c r="K818" i="204"/>
  <c r="J818" i="204"/>
  <c r="N817" i="204"/>
  <c r="M817" i="204"/>
  <c r="K817" i="204"/>
  <c r="J817" i="204"/>
  <c r="N816" i="204"/>
  <c r="M816" i="204"/>
  <c r="K816" i="204"/>
  <c r="J816" i="204"/>
  <c r="N815" i="204"/>
  <c r="M815" i="204"/>
  <c r="K815" i="204"/>
  <c r="J815" i="204"/>
  <c r="N814" i="204"/>
  <c r="M814" i="204"/>
  <c r="K814" i="204"/>
  <c r="J814" i="204"/>
  <c r="N813" i="204"/>
  <c r="M813" i="204"/>
  <c r="K813" i="204"/>
  <c r="J813" i="204"/>
  <c r="N812" i="204"/>
  <c r="M812" i="204"/>
  <c r="K812" i="204"/>
  <c r="J812" i="204"/>
  <c r="N811" i="204"/>
  <c r="M811" i="204"/>
  <c r="K811" i="204"/>
  <c r="J811" i="204"/>
  <c r="N810" i="204"/>
  <c r="M810" i="204"/>
  <c r="K810" i="204"/>
  <c r="J810" i="204"/>
  <c r="N809" i="204"/>
  <c r="M809" i="204"/>
  <c r="K809" i="204"/>
  <c r="J809" i="204"/>
  <c r="N808" i="204"/>
  <c r="M808" i="204"/>
  <c r="K808" i="204"/>
  <c r="J808" i="204"/>
  <c r="N807" i="204"/>
  <c r="M807" i="204"/>
  <c r="K807" i="204"/>
  <c r="J807" i="204"/>
  <c r="N806" i="204"/>
  <c r="M806" i="204"/>
  <c r="K806" i="204"/>
  <c r="J806" i="204"/>
  <c r="N805" i="204"/>
  <c r="M805" i="204"/>
  <c r="K805" i="204"/>
  <c r="J805" i="204"/>
  <c r="N804" i="204"/>
  <c r="M804" i="204"/>
  <c r="K804" i="204"/>
  <c r="J804" i="204"/>
  <c r="N803" i="204"/>
  <c r="M803" i="204"/>
  <c r="K803" i="204"/>
  <c r="J803" i="204"/>
  <c r="N802" i="204"/>
  <c r="M802" i="204"/>
  <c r="K802" i="204"/>
  <c r="J802" i="204"/>
  <c r="N801" i="204"/>
  <c r="M801" i="204"/>
  <c r="K801" i="204"/>
  <c r="J801" i="204"/>
  <c r="N800" i="204"/>
  <c r="M800" i="204"/>
  <c r="K800" i="204"/>
  <c r="J800" i="204"/>
  <c r="N799" i="204"/>
  <c r="M799" i="204"/>
  <c r="K799" i="204"/>
  <c r="J799" i="204"/>
  <c r="N798" i="204"/>
  <c r="M798" i="204"/>
  <c r="K798" i="204"/>
  <c r="J798" i="204"/>
  <c r="N797" i="204"/>
  <c r="M797" i="204"/>
  <c r="K797" i="204"/>
  <c r="J797" i="204"/>
  <c r="N796" i="204"/>
  <c r="M796" i="204"/>
  <c r="K796" i="204"/>
  <c r="J796" i="204"/>
  <c r="N795" i="204"/>
  <c r="M795" i="204"/>
  <c r="K795" i="204"/>
  <c r="J795" i="204"/>
  <c r="N794" i="204"/>
  <c r="M794" i="204"/>
  <c r="K794" i="204"/>
  <c r="J794" i="204"/>
  <c r="N793" i="204"/>
  <c r="M793" i="204"/>
  <c r="K793" i="204"/>
  <c r="J793" i="204"/>
  <c r="N792" i="204"/>
  <c r="M792" i="204"/>
  <c r="K792" i="204"/>
  <c r="J792" i="204"/>
  <c r="N791" i="204"/>
  <c r="M791" i="204"/>
  <c r="K791" i="204"/>
  <c r="J791" i="204"/>
  <c r="N790" i="204"/>
  <c r="M790" i="204"/>
  <c r="K790" i="204"/>
  <c r="J790" i="204"/>
  <c r="N789" i="204"/>
  <c r="M789" i="204"/>
  <c r="K789" i="204"/>
  <c r="J789" i="204"/>
  <c r="N788" i="204"/>
  <c r="M788" i="204"/>
  <c r="K788" i="204"/>
  <c r="J788" i="204"/>
  <c r="N787" i="204"/>
  <c r="M787" i="204"/>
  <c r="K787" i="204"/>
  <c r="J787" i="204"/>
  <c r="N786" i="204"/>
  <c r="M786" i="204"/>
  <c r="K786" i="204"/>
  <c r="J786" i="204"/>
  <c r="N785" i="204"/>
  <c r="M785" i="204"/>
  <c r="K785" i="204"/>
  <c r="J785" i="204"/>
  <c r="N784" i="204"/>
  <c r="M784" i="204"/>
  <c r="K784" i="204"/>
  <c r="J784" i="204"/>
  <c r="N783" i="204"/>
  <c r="M783" i="204"/>
  <c r="K783" i="204"/>
  <c r="J783" i="204"/>
  <c r="N782" i="204"/>
  <c r="M782" i="204"/>
  <c r="K782" i="204"/>
  <c r="J782" i="204"/>
  <c r="N781" i="204"/>
  <c r="M781" i="204"/>
  <c r="K781" i="204"/>
  <c r="J781" i="204"/>
  <c r="N780" i="204"/>
  <c r="M780" i="204"/>
  <c r="K780" i="204"/>
  <c r="J780" i="204"/>
  <c r="N779" i="204"/>
  <c r="M779" i="204"/>
  <c r="K779" i="204"/>
  <c r="J779" i="204"/>
  <c r="N778" i="204"/>
  <c r="M778" i="204"/>
  <c r="K778" i="204"/>
  <c r="J778" i="204"/>
  <c r="N777" i="204"/>
  <c r="M777" i="204"/>
  <c r="K777" i="204"/>
  <c r="J777" i="204"/>
  <c r="N776" i="204"/>
  <c r="M776" i="204"/>
  <c r="K776" i="204"/>
  <c r="J776" i="204"/>
  <c r="N775" i="204"/>
  <c r="M775" i="204"/>
  <c r="K775" i="204"/>
  <c r="J775" i="204"/>
  <c r="N774" i="204"/>
  <c r="M774" i="204"/>
  <c r="K774" i="204"/>
  <c r="J774" i="204"/>
  <c r="N773" i="204"/>
  <c r="M773" i="204"/>
  <c r="K773" i="204"/>
  <c r="J773" i="204"/>
  <c r="N772" i="204"/>
  <c r="M772" i="204"/>
  <c r="K772" i="204"/>
  <c r="J772" i="204"/>
  <c r="N771" i="204"/>
  <c r="M771" i="204"/>
  <c r="K771" i="204"/>
  <c r="J771" i="204"/>
  <c r="N770" i="204"/>
  <c r="M770" i="204"/>
  <c r="K770" i="204"/>
  <c r="J770" i="204"/>
  <c r="N769" i="204"/>
  <c r="M769" i="204"/>
  <c r="K769" i="204"/>
  <c r="J769" i="204"/>
  <c r="N768" i="204"/>
  <c r="M768" i="204"/>
  <c r="K768" i="204"/>
  <c r="J768" i="204"/>
  <c r="N767" i="204"/>
  <c r="M767" i="204"/>
  <c r="K767" i="204"/>
  <c r="J767" i="204"/>
  <c r="N766" i="204"/>
  <c r="M766" i="204"/>
  <c r="K766" i="204"/>
  <c r="J766" i="204"/>
  <c r="N765" i="204"/>
  <c r="M765" i="204"/>
  <c r="K765" i="204"/>
  <c r="J765" i="204"/>
  <c r="N764" i="204"/>
  <c r="M764" i="204"/>
  <c r="K764" i="204"/>
  <c r="J764" i="204"/>
  <c r="N763" i="204"/>
  <c r="M763" i="204"/>
  <c r="K763" i="204"/>
  <c r="J763" i="204"/>
  <c r="N762" i="204"/>
  <c r="M762" i="204"/>
  <c r="K762" i="204"/>
  <c r="J762" i="204"/>
  <c r="N761" i="204"/>
  <c r="M761" i="204"/>
  <c r="K761" i="204"/>
  <c r="J761" i="204"/>
  <c r="N760" i="204"/>
  <c r="M760" i="204"/>
  <c r="K760" i="204"/>
  <c r="J760" i="204"/>
  <c r="N759" i="204"/>
  <c r="M759" i="204"/>
  <c r="K759" i="204"/>
  <c r="J759" i="204"/>
  <c r="N758" i="204"/>
  <c r="M758" i="204"/>
  <c r="K758" i="204"/>
  <c r="J758" i="204"/>
  <c r="N757" i="204"/>
  <c r="M757" i="204"/>
  <c r="K757" i="204"/>
  <c r="J757" i="204"/>
  <c r="N756" i="204"/>
  <c r="M756" i="204"/>
  <c r="K756" i="204"/>
  <c r="J756" i="204"/>
  <c r="N755" i="204"/>
  <c r="M755" i="204"/>
  <c r="K755" i="204"/>
  <c r="J755" i="204"/>
  <c r="N754" i="204"/>
  <c r="M754" i="204"/>
  <c r="K754" i="204"/>
  <c r="J754" i="204"/>
  <c r="N753" i="204"/>
  <c r="M753" i="204"/>
  <c r="K753" i="204"/>
  <c r="J753" i="204"/>
  <c r="N752" i="204"/>
  <c r="M752" i="204"/>
  <c r="K752" i="204"/>
  <c r="J752" i="204"/>
  <c r="N751" i="204"/>
  <c r="M751" i="204"/>
  <c r="K751" i="204"/>
  <c r="J751" i="204"/>
  <c r="AH414" i="204"/>
  <c r="AG414" i="204"/>
  <c r="AF414" i="204"/>
  <c r="AE414" i="204"/>
  <c r="AC414" i="204"/>
  <c r="AA414" i="204"/>
  <c r="Z414" i="204"/>
  <c r="Y414" i="204"/>
  <c r="X414" i="204"/>
  <c r="W414" i="204"/>
  <c r="V414" i="204"/>
  <c r="AH413" i="204"/>
  <c r="AG413" i="204"/>
  <c r="AF413" i="204"/>
  <c r="AE413" i="204"/>
  <c r="AC413" i="204"/>
  <c r="AA413" i="204"/>
  <c r="Z413" i="204"/>
  <c r="Y413" i="204"/>
  <c r="X413" i="204"/>
  <c r="W413" i="204"/>
  <c r="V413" i="204"/>
  <c r="AH412" i="204"/>
  <c r="AG412" i="204"/>
  <c r="AF412" i="204"/>
  <c r="AE412" i="204"/>
  <c r="AC412" i="204"/>
  <c r="AA412" i="204"/>
  <c r="Z412" i="204"/>
  <c r="Y412" i="204"/>
  <c r="X412" i="204"/>
  <c r="W412" i="204"/>
  <c r="V412" i="204"/>
  <c r="AH411" i="204"/>
  <c r="AG411" i="204"/>
  <c r="AF411" i="204"/>
  <c r="AE411" i="204"/>
  <c r="AC411" i="204"/>
  <c r="AA411" i="204"/>
  <c r="Z411" i="204"/>
  <c r="Y411" i="204"/>
  <c r="X411" i="204"/>
  <c r="W411" i="204"/>
  <c r="V411" i="204"/>
  <c r="AH410" i="204"/>
  <c r="AG410" i="204"/>
  <c r="AF410" i="204"/>
  <c r="AE410" i="204"/>
  <c r="AC410" i="204"/>
  <c r="AA410" i="204"/>
  <c r="Z410" i="204"/>
  <c r="Y410" i="204"/>
  <c r="X410" i="204"/>
  <c r="W410" i="204"/>
  <c r="V410" i="204"/>
  <c r="AH409" i="204"/>
  <c r="AG409" i="204"/>
  <c r="AF409" i="204"/>
  <c r="AE409" i="204"/>
  <c r="AC409" i="204"/>
  <c r="AA409" i="204"/>
  <c r="Z409" i="204"/>
  <c r="Y409" i="204"/>
  <c r="X409" i="204"/>
  <c r="W409" i="204"/>
  <c r="V409" i="204"/>
  <c r="AH408" i="204"/>
  <c r="AG408" i="204"/>
  <c r="AF408" i="204"/>
  <c r="AE408" i="204"/>
  <c r="AC408" i="204"/>
  <c r="AA408" i="204"/>
  <c r="Z408" i="204"/>
  <c r="Y408" i="204"/>
  <c r="X408" i="204"/>
  <c r="W408" i="204"/>
  <c r="V408" i="204"/>
  <c r="AH407" i="204"/>
  <c r="AG407" i="204"/>
  <c r="AF407" i="204"/>
  <c r="AE407" i="204"/>
  <c r="AC407" i="204"/>
  <c r="AA407" i="204"/>
  <c r="Z407" i="204"/>
  <c r="Y407" i="204"/>
  <c r="X407" i="204"/>
  <c r="W407" i="204"/>
  <c r="V407" i="204"/>
  <c r="AH406" i="204"/>
  <c r="AG406" i="204"/>
  <c r="AF406" i="204"/>
  <c r="AE406" i="204"/>
  <c r="AC406" i="204"/>
  <c r="AA406" i="204"/>
  <c r="Z406" i="204"/>
  <c r="Y406" i="204"/>
  <c r="X406" i="204"/>
  <c r="W406" i="204"/>
  <c r="V406" i="204"/>
  <c r="AH405" i="204"/>
  <c r="AG405" i="204"/>
  <c r="AF405" i="204"/>
  <c r="AE405" i="204"/>
  <c r="AC405" i="204"/>
  <c r="AA405" i="204"/>
  <c r="Z405" i="204"/>
  <c r="Y405" i="204"/>
  <c r="X405" i="204"/>
  <c r="W405" i="204"/>
  <c r="V405" i="204"/>
  <c r="AH404" i="204"/>
  <c r="AG404" i="204"/>
  <c r="AF404" i="204"/>
  <c r="AE404" i="204"/>
  <c r="AC404" i="204"/>
  <c r="AA404" i="204"/>
  <c r="Z404" i="204"/>
  <c r="Y404" i="204"/>
  <c r="X404" i="204"/>
  <c r="W404" i="204"/>
  <c r="V404" i="204"/>
  <c r="AH403" i="204"/>
  <c r="AG403" i="204"/>
  <c r="AF403" i="204"/>
  <c r="AE403" i="204"/>
  <c r="AC403" i="204"/>
  <c r="AA403" i="204"/>
  <c r="Z403" i="204"/>
  <c r="Y403" i="204"/>
  <c r="X403" i="204"/>
  <c r="W403" i="204"/>
  <c r="V403" i="204"/>
  <c r="AH402" i="204"/>
  <c r="AG402" i="204"/>
  <c r="AF402" i="204"/>
  <c r="AE402" i="204"/>
  <c r="AC402" i="204"/>
  <c r="AA402" i="204"/>
  <c r="Z402" i="204"/>
  <c r="Y402" i="204"/>
  <c r="X402" i="204"/>
  <c r="W402" i="204"/>
  <c r="V402" i="204"/>
  <c r="AH401" i="204"/>
  <c r="AG401" i="204"/>
  <c r="AF401" i="204"/>
  <c r="AE401" i="204"/>
  <c r="AC401" i="204"/>
  <c r="AA401" i="204"/>
  <c r="Z401" i="204"/>
  <c r="Y401" i="204"/>
  <c r="X401" i="204"/>
  <c r="W401" i="204"/>
  <c r="V401" i="204"/>
  <c r="AH400" i="204"/>
  <c r="AG400" i="204"/>
  <c r="AF400" i="204"/>
  <c r="AE400" i="204"/>
  <c r="AC400" i="204"/>
  <c r="AA400" i="204"/>
  <c r="Z400" i="204"/>
  <c r="Y400" i="204"/>
  <c r="X400" i="204"/>
  <c r="W400" i="204"/>
  <c r="V400" i="204"/>
  <c r="AH399" i="204"/>
  <c r="AG399" i="204"/>
  <c r="AF399" i="204"/>
  <c r="AE399" i="204"/>
  <c r="AC399" i="204"/>
  <c r="AA399" i="204"/>
  <c r="Z399" i="204"/>
  <c r="Y399" i="204"/>
  <c r="X399" i="204"/>
  <c r="W399" i="204"/>
  <c r="V399" i="204"/>
  <c r="AH398" i="204"/>
  <c r="AG398" i="204"/>
  <c r="AF398" i="204"/>
  <c r="AE398" i="204"/>
  <c r="AC398" i="204"/>
  <c r="AA398" i="204"/>
  <c r="Z398" i="204"/>
  <c r="Y398" i="204"/>
  <c r="X398" i="204"/>
  <c r="W398" i="204"/>
  <c r="V398" i="204"/>
  <c r="AH397" i="204"/>
  <c r="AG397" i="204"/>
  <c r="AF397" i="204"/>
  <c r="AE397" i="204"/>
  <c r="AC397" i="204"/>
  <c r="AA397" i="204"/>
  <c r="Z397" i="204"/>
  <c r="Y397" i="204"/>
  <c r="X397" i="204"/>
  <c r="W397" i="204"/>
  <c r="V397" i="204"/>
  <c r="AH396" i="204"/>
  <c r="AG396" i="204"/>
  <c r="AF396" i="204"/>
  <c r="AE396" i="204"/>
  <c r="AC396" i="204"/>
  <c r="AA396" i="204"/>
  <c r="Z396" i="204"/>
  <c r="Y396" i="204"/>
  <c r="X396" i="204"/>
  <c r="W396" i="204"/>
  <c r="V396" i="204"/>
  <c r="AH395" i="204"/>
  <c r="AG395" i="204"/>
  <c r="AF395" i="204"/>
  <c r="AE395" i="204"/>
  <c r="AC395" i="204"/>
  <c r="AA395" i="204"/>
  <c r="Z395" i="204"/>
  <c r="Y395" i="204"/>
  <c r="X395" i="204"/>
  <c r="W395" i="204"/>
  <c r="V395" i="204"/>
  <c r="AH394" i="204"/>
  <c r="AG394" i="204"/>
  <c r="AF394" i="204"/>
  <c r="AE394" i="204"/>
  <c r="AC394" i="204"/>
  <c r="AA394" i="204"/>
  <c r="Z394" i="204"/>
  <c r="Y394" i="204"/>
  <c r="X394" i="204"/>
  <c r="W394" i="204"/>
  <c r="V394" i="204"/>
  <c r="AH393" i="204"/>
  <c r="AG393" i="204"/>
  <c r="AF393" i="204"/>
  <c r="AE393" i="204"/>
  <c r="AC393" i="204"/>
  <c r="AA393" i="204"/>
  <c r="Z393" i="204"/>
  <c r="Y393" i="204"/>
  <c r="X393" i="204"/>
  <c r="W393" i="204"/>
  <c r="V393" i="204"/>
  <c r="AH392" i="204"/>
  <c r="AG392" i="204"/>
  <c r="AF392" i="204"/>
  <c r="AE392" i="204"/>
  <c r="AC392" i="204"/>
  <c r="AA392" i="204"/>
  <c r="Z392" i="204"/>
  <c r="Y392" i="204"/>
  <c r="X392" i="204"/>
  <c r="W392" i="204"/>
  <c r="V392" i="204"/>
  <c r="AH391" i="204"/>
  <c r="AG391" i="204"/>
  <c r="AF391" i="204"/>
  <c r="AE391" i="204"/>
  <c r="AC391" i="204"/>
  <c r="AA391" i="204"/>
  <c r="Z391" i="204"/>
  <c r="Y391" i="204"/>
  <c r="X391" i="204"/>
  <c r="W391" i="204"/>
  <c r="V391" i="204"/>
  <c r="AH390" i="204"/>
  <c r="AG390" i="204"/>
  <c r="AF390" i="204"/>
  <c r="AE390" i="204"/>
  <c r="AC390" i="204"/>
  <c r="AA390" i="204"/>
  <c r="Z390" i="204"/>
  <c r="Y390" i="204"/>
  <c r="X390" i="204"/>
  <c r="W390" i="204"/>
  <c r="V390" i="204"/>
  <c r="AH389" i="204"/>
  <c r="AG389" i="204"/>
  <c r="AF389" i="204"/>
  <c r="AE389" i="204"/>
  <c r="AC389" i="204"/>
  <c r="AA389" i="204"/>
  <c r="Z389" i="204"/>
  <c r="Y389" i="204"/>
  <c r="X389" i="204"/>
  <c r="W389" i="204"/>
  <c r="V389" i="204"/>
  <c r="AH388" i="204"/>
  <c r="AG388" i="204"/>
  <c r="AF388" i="204"/>
  <c r="AE388" i="204"/>
  <c r="AC388" i="204"/>
  <c r="AA388" i="204"/>
  <c r="Z388" i="204"/>
  <c r="Y388" i="204"/>
  <c r="X388" i="204"/>
  <c r="W388" i="204"/>
  <c r="V388" i="204"/>
  <c r="AH387" i="204"/>
  <c r="AG387" i="204"/>
  <c r="AF387" i="204"/>
  <c r="AE387" i="204"/>
  <c r="AC387" i="204"/>
  <c r="AA387" i="204"/>
  <c r="Z387" i="204"/>
  <c r="Y387" i="204"/>
  <c r="X387" i="204"/>
  <c r="W387" i="204"/>
  <c r="V387" i="204"/>
  <c r="AH386" i="204"/>
  <c r="AG386" i="204"/>
  <c r="AF386" i="204"/>
  <c r="AE386" i="204"/>
  <c r="AC386" i="204"/>
  <c r="AA386" i="204"/>
  <c r="Z386" i="204"/>
  <c r="Y386" i="204"/>
  <c r="X386" i="204"/>
  <c r="W386" i="204"/>
  <c r="V386" i="204"/>
  <c r="AH385" i="204"/>
  <c r="AG385" i="204"/>
  <c r="AF385" i="204"/>
  <c r="AE385" i="204"/>
  <c r="AC385" i="204"/>
  <c r="AA385" i="204"/>
  <c r="Z385" i="204"/>
  <c r="Y385" i="204"/>
  <c r="X385" i="204"/>
  <c r="W385" i="204"/>
  <c r="V385" i="204"/>
  <c r="AH384" i="204"/>
  <c r="AG384" i="204"/>
  <c r="AF384" i="204"/>
  <c r="AE384" i="204"/>
  <c r="AC384" i="204"/>
  <c r="AA384" i="204"/>
  <c r="Z384" i="204"/>
  <c r="Y384" i="204"/>
  <c r="X384" i="204"/>
  <c r="W384" i="204"/>
  <c r="V384" i="204"/>
  <c r="AH383" i="204"/>
  <c r="AG383" i="204"/>
  <c r="AF383" i="204"/>
  <c r="AE383" i="204"/>
  <c r="AC383" i="204"/>
  <c r="AA383" i="204"/>
  <c r="Z383" i="204"/>
  <c r="Y383" i="204"/>
  <c r="X383" i="204"/>
  <c r="W383" i="204"/>
  <c r="V383" i="204"/>
  <c r="AH382" i="204"/>
  <c r="AG382" i="204"/>
  <c r="AF382" i="204"/>
  <c r="AE382" i="204"/>
  <c r="AC382" i="204"/>
  <c r="AA382" i="204"/>
  <c r="Z382" i="204"/>
  <c r="Y382" i="204"/>
  <c r="X382" i="204"/>
  <c r="W382" i="204"/>
  <c r="V382" i="204"/>
  <c r="AH381" i="204"/>
  <c r="AG381" i="204"/>
  <c r="AF381" i="204"/>
  <c r="AE381" i="204"/>
  <c r="AC381" i="204"/>
  <c r="AA381" i="204"/>
  <c r="Z381" i="204"/>
  <c r="Y381" i="204"/>
  <c r="X381" i="204"/>
  <c r="W381" i="204"/>
  <c r="V381" i="204"/>
  <c r="AH380" i="204"/>
  <c r="AG380" i="204"/>
  <c r="AF380" i="204"/>
  <c r="AE380" i="204"/>
  <c r="AC380" i="204"/>
  <c r="AA380" i="204"/>
  <c r="Z380" i="204"/>
  <c r="Y380" i="204"/>
  <c r="X380" i="204"/>
  <c r="W380" i="204"/>
  <c r="V380" i="204"/>
  <c r="AH379" i="204"/>
  <c r="AG379" i="204"/>
  <c r="AF379" i="204"/>
  <c r="AE379" i="204"/>
  <c r="AC379" i="204"/>
  <c r="AA379" i="204"/>
  <c r="Z379" i="204"/>
  <c r="Y379" i="204"/>
  <c r="X379" i="204"/>
  <c r="W379" i="204"/>
  <c r="V379" i="204"/>
  <c r="AH378" i="204"/>
  <c r="AG378" i="204"/>
  <c r="AF378" i="204"/>
  <c r="AE378" i="204"/>
  <c r="AC378" i="204"/>
  <c r="AA378" i="204"/>
  <c r="Z378" i="204"/>
  <c r="Y378" i="204"/>
  <c r="X378" i="204"/>
  <c r="W378" i="204"/>
  <c r="V378" i="204"/>
  <c r="AH377" i="204"/>
  <c r="AG377" i="204"/>
  <c r="AF377" i="204"/>
  <c r="AE377" i="204"/>
  <c r="AC377" i="204"/>
  <c r="AA377" i="204"/>
  <c r="Z377" i="204"/>
  <c r="Y377" i="204"/>
  <c r="X377" i="204"/>
  <c r="W377" i="204"/>
  <c r="V377" i="204"/>
  <c r="AH376" i="204"/>
  <c r="AG376" i="204"/>
  <c r="AF376" i="204"/>
  <c r="AE376" i="204"/>
  <c r="AC376" i="204"/>
  <c r="AA376" i="204"/>
  <c r="Z376" i="204"/>
  <c r="Y376" i="204"/>
  <c r="X376" i="204"/>
  <c r="W376" i="204"/>
  <c r="V376" i="204"/>
  <c r="AH375" i="204"/>
  <c r="AG375" i="204"/>
  <c r="AF375" i="204"/>
  <c r="AE375" i="204"/>
  <c r="AC375" i="204"/>
  <c r="AA375" i="204"/>
  <c r="Z375" i="204"/>
  <c r="Y375" i="204"/>
  <c r="X375" i="204"/>
  <c r="W375" i="204"/>
  <c r="V375" i="204"/>
  <c r="AH374" i="204"/>
  <c r="AG374" i="204"/>
  <c r="AF374" i="204"/>
  <c r="AE374" i="204"/>
  <c r="AC374" i="204"/>
  <c r="AA374" i="204"/>
  <c r="Z374" i="204"/>
  <c r="Y374" i="204"/>
  <c r="X374" i="204"/>
  <c r="W374" i="204"/>
  <c r="V374" i="204"/>
  <c r="AH373" i="204"/>
  <c r="AG373" i="204"/>
  <c r="AF373" i="204"/>
  <c r="AE373" i="204"/>
  <c r="AC373" i="204"/>
  <c r="AA373" i="204"/>
  <c r="Z373" i="204"/>
  <c r="Y373" i="204"/>
  <c r="X373" i="204"/>
  <c r="W373" i="204"/>
  <c r="V373" i="204"/>
  <c r="AH372" i="204"/>
  <c r="AG372" i="204"/>
  <c r="AF372" i="204"/>
  <c r="AE372" i="204"/>
  <c r="AC372" i="204"/>
  <c r="AA372" i="204"/>
  <c r="Z372" i="204"/>
  <c r="Y372" i="204"/>
  <c r="X372" i="204"/>
  <c r="W372" i="204"/>
  <c r="V372" i="204"/>
  <c r="AH371" i="204"/>
  <c r="AG371" i="204"/>
  <c r="AF371" i="204"/>
  <c r="AE371" i="204"/>
  <c r="AC371" i="204"/>
  <c r="AA371" i="204"/>
  <c r="Z371" i="204"/>
  <c r="Y371" i="204"/>
  <c r="X371" i="204"/>
  <c r="W371" i="204"/>
  <c r="V371" i="204"/>
  <c r="AH370" i="204"/>
  <c r="AG370" i="204"/>
  <c r="AF370" i="204"/>
  <c r="AE370" i="204"/>
  <c r="AC370" i="204"/>
  <c r="AA370" i="204"/>
  <c r="Z370" i="204"/>
  <c r="Y370" i="204"/>
  <c r="X370" i="204"/>
  <c r="W370" i="204"/>
  <c r="V370" i="204"/>
  <c r="AH369" i="204"/>
  <c r="AG369" i="204"/>
  <c r="AF369" i="204"/>
  <c r="AE369" i="204"/>
  <c r="AC369" i="204"/>
  <c r="AA369" i="204"/>
  <c r="Z369" i="204"/>
  <c r="Y369" i="204"/>
  <c r="X369" i="204"/>
  <c r="W369" i="204"/>
  <c r="V369" i="204"/>
  <c r="AH368" i="204"/>
  <c r="AG368" i="204"/>
  <c r="AF368" i="204"/>
  <c r="AE368" i="204"/>
  <c r="AC368" i="204"/>
  <c r="AA368" i="204"/>
  <c r="Z368" i="204"/>
  <c r="Y368" i="204"/>
  <c r="X368" i="204"/>
  <c r="W368" i="204"/>
  <c r="V368" i="204"/>
  <c r="AH367" i="204"/>
  <c r="AG367" i="204"/>
  <c r="AF367" i="204"/>
  <c r="AE367" i="204"/>
  <c r="AC367" i="204"/>
  <c r="AA367" i="204"/>
  <c r="Z367" i="204"/>
  <c r="Y367" i="204"/>
  <c r="X367" i="204"/>
  <c r="W367" i="204"/>
  <c r="V367" i="204"/>
  <c r="AH366" i="204"/>
  <c r="AG366" i="204"/>
  <c r="AF366" i="204"/>
  <c r="AE366" i="204"/>
  <c r="AC366" i="204"/>
  <c r="AA366" i="204"/>
  <c r="Z366" i="204"/>
  <c r="Y366" i="204"/>
  <c r="X366" i="204"/>
  <c r="W366" i="204"/>
  <c r="V366" i="204"/>
  <c r="AH365" i="204"/>
  <c r="AG365" i="204"/>
  <c r="AF365" i="204"/>
  <c r="AE365" i="204"/>
  <c r="AC365" i="204"/>
  <c r="AA365" i="204"/>
  <c r="Z365" i="204"/>
  <c r="Y365" i="204"/>
  <c r="X365" i="204"/>
  <c r="W365" i="204"/>
  <c r="V365" i="204"/>
  <c r="AH364" i="204"/>
  <c r="AG364" i="204"/>
  <c r="AF364" i="204"/>
  <c r="AE364" i="204"/>
  <c r="AC364" i="204"/>
  <c r="AA364" i="204"/>
  <c r="Z364" i="204"/>
  <c r="Y364" i="204"/>
  <c r="X364" i="204"/>
  <c r="W364" i="204"/>
  <c r="V364" i="204"/>
  <c r="AH363" i="204"/>
  <c r="AG363" i="204"/>
  <c r="AF363" i="204"/>
  <c r="AE363" i="204"/>
  <c r="AC363" i="204"/>
  <c r="AA363" i="204"/>
  <c r="Z363" i="204"/>
  <c r="Y363" i="204"/>
  <c r="X363" i="204"/>
  <c r="W363" i="204"/>
  <c r="V363" i="204"/>
  <c r="AH362" i="204"/>
  <c r="AG362" i="204"/>
  <c r="AF362" i="204"/>
  <c r="AE362" i="204"/>
  <c r="AC362" i="204"/>
  <c r="AA362" i="204"/>
  <c r="Z362" i="204"/>
  <c r="Y362" i="204"/>
  <c r="X362" i="204"/>
  <c r="W362" i="204"/>
  <c r="V362" i="204"/>
  <c r="AH361" i="204"/>
  <c r="AG361" i="204"/>
  <c r="AF361" i="204"/>
  <c r="AE361" i="204"/>
  <c r="AC361" i="204"/>
  <c r="AA361" i="204"/>
  <c r="Z361" i="204"/>
  <c r="Y361" i="204"/>
  <c r="X361" i="204"/>
  <c r="W361" i="204"/>
  <c r="V361" i="204"/>
  <c r="AH360" i="204"/>
  <c r="AG360" i="204"/>
  <c r="AF360" i="204"/>
  <c r="AE360" i="204"/>
  <c r="AC360" i="204"/>
  <c r="AA360" i="204"/>
  <c r="Z360" i="204"/>
  <c r="Y360" i="204"/>
  <c r="X360" i="204"/>
  <c r="W360" i="204"/>
  <c r="V360" i="204"/>
  <c r="AH359" i="204"/>
  <c r="AG359" i="204"/>
  <c r="AF359" i="204"/>
  <c r="AE359" i="204"/>
  <c r="AC359" i="204"/>
  <c r="AA359" i="204"/>
  <c r="Z359" i="204"/>
  <c r="Y359" i="204"/>
  <c r="X359" i="204"/>
  <c r="W359" i="204"/>
  <c r="V359" i="204"/>
  <c r="AH358" i="204"/>
  <c r="AG358" i="204"/>
  <c r="AF358" i="204"/>
  <c r="AE358" i="204"/>
  <c r="AC358" i="204"/>
  <c r="AA358" i="204"/>
  <c r="Z358" i="204"/>
  <c r="Y358" i="204"/>
  <c r="X358" i="204"/>
  <c r="W358" i="204"/>
  <c r="V358" i="204"/>
  <c r="AH357" i="204"/>
  <c r="AG357" i="204"/>
  <c r="AF357" i="204"/>
  <c r="AE357" i="204"/>
  <c r="AC357" i="204"/>
  <c r="AA357" i="204"/>
  <c r="Z357" i="204"/>
  <c r="Y357" i="204"/>
  <c r="X357" i="204"/>
  <c r="W357" i="204"/>
  <c r="V357" i="204"/>
  <c r="AH356" i="204"/>
  <c r="AG356" i="204"/>
  <c r="AF356" i="204"/>
  <c r="AE356" i="204"/>
  <c r="AC356" i="204"/>
  <c r="AA356" i="204"/>
  <c r="Z356" i="204"/>
  <c r="Y356" i="204"/>
  <c r="X356" i="204"/>
  <c r="W356" i="204"/>
  <c r="V356" i="204"/>
  <c r="AH355" i="204"/>
  <c r="AG355" i="204"/>
  <c r="AF355" i="204"/>
  <c r="AE355" i="204"/>
  <c r="AC355" i="204"/>
  <c r="AA355" i="204"/>
  <c r="Z355" i="204"/>
  <c r="Y355" i="204"/>
  <c r="X355" i="204"/>
  <c r="W355" i="204"/>
  <c r="V355" i="204"/>
  <c r="AH354" i="204"/>
  <c r="AG354" i="204"/>
  <c r="AF354" i="204"/>
  <c r="AE354" i="204"/>
  <c r="AC354" i="204"/>
  <c r="AA354" i="204"/>
  <c r="Z354" i="204"/>
  <c r="Y354" i="204"/>
  <c r="X354" i="204"/>
  <c r="W354" i="204"/>
  <c r="V354" i="204"/>
  <c r="AH353" i="204"/>
  <c r="AG353" i="204"/>
  <c r="AF353" i="204"/>
  <c r="AE353" i="204"/>
  <c r="AC353" i="204"/>
  <c r="AA353" i="204"/>
  <c r="Z353" i="204"/>
  <c r="Y353" i="204"/>
  <c r="X353" i="204"/>
  <c r="W353" i="204"/>
  <c r="V353" i="204"/>
  <c r="AH352" i="204"/>
  <c r="AG352" i="204"/>
  <c r="AF352" i="204"/>
  <c r="AE352" i="204"/>
  <c r="AC352" i="204"/>
  <c r="AA352" i="204"/>
  <c r="Z352" i="204"/>
  <c r="Y352" i="204"/>
  <c r="X352" i="204"/>
  <c r="W352" i="204"/>
  <c r="V352" i="204"/>
  <c r="AH351" i="204"/>
  <c r="AG351" i="204"/>
  <c r="AF351" i="204"/>
  <c r="AE351" i="204"/>
  <c r="AC351" i="204"/>
  <c r="AA351" i="204"/>
  <c r="Z351" i="204"/>
  <c r="Y351" i="204"/>
  <c r="X351" i="204"/>
  <c r="W351" i="204"/>
  <c r="V351" i="204"/>
  <c r="AH350" i="204"/>
  <c r="AG350" i="204"/>
  <c r="AF350" i="204"/>
  <c r="AE350" i="204"/>
  <c r="AC350" i="204"/>
  <c r="AA350" i="204"/>
  <c r="Z350" i="204"/>
  <c r="Y350" i="204"/>
  <c r="X350" i="204"/>
  <c r="W350" i="204"/>
  <c r="V350" i="204"/>
  <c r="AH349" i="204"/>
  <c r="AG349" i="204"/>
  <c r="AF349" i="204"/>
  <c r="AE349" i="204"/>
  <c r="AC349" i="204"/>
  <c r="AA349" i="204"/>
  <c r="Z349" i="204"/>
  <c r="Y349" i="204"/>
  <c r="X349" i="204"/>
  <c r="W349" i="204"/>
  <c r="V349" i="204"/>
  <c r="AH348" i="204"/>
  <c r="AG348" i="204"/>
  <c r="AF348" i="204"/>
  <c r="AE348" i="204"/>
  <c r="AC348" i="204"/>
  <c r="AA348" i="204"/>
  <c r="Z348" i="204"/>
  <c r="Y348" i="204"/>
  <c r="X348" i="204"/>
  <c r="W348" i="204"/>
  <c r="V348" i="204"/>
  <c r="AH347" i="204"/>
  <c r="AG347" i="204"/>
  <c r="AF347" i="204"/>
  <c r="AE347" i="204"/>
  <c r="AC347" i="204"/>
  <c r="AA347" i="204"/>
  <c r="Z347" i="204"/>
  <c r="Y347" i="204"/>
  <c r="X347" i="204"/>
  <c r="W347" i="204"/>
  <c r="V347" i="204"/>
  <c r="AH346" i="204"/>
  <c r="AG346" i="204"/>
  <c r="AF346" i="204"/>
  <c r="AE346" i="204"/>
  <c r="AC346" i="204"/>
  <c r="AA346" i="204"/>
  <c r="Z346" i="204"/>
  <c r="Y346" i="204"/>
  <c r="X346" i="204"/>
  <c r="W346" i="204"/>
  <c r="V346" i="204"/>
  <c r="AH345" i="204"/>
  <c r="AG345" i="204"/>
  <c r="AF345" i="204"/>
  <c r="AE345" i="204"/>
  <c r="AC345" i="204"/>
  <c r="AA345" i="204"/>
  <c r="Z345" i="204"/>
  <c r="Y345" i="204"/>
  <c r="X345" i="204"/>
  <c r="W345" i="204"/>
  <c r="V345" i="204"/>
  <c r="AH344" i="204"/>
  <c r="AG344" i="204"/>
  <c r="AF344" i="204"/>
  <c r="AE344" i="204"/>
  <c r="AC344" i="204"/>
  <c r="AA344" i="204"/>
  <c r="Z344" i="204"/>
  <c r="Y344" i="204"/>
  <c r="X344" i="204"/>
  <c r="W344" i="204"/>
  <c r="V344" i="204"/>
  <c r="AH343" i="204"/>
  <c r="AG343" i="204"/>
  <c r="AF343" i="204"/>
  <c r="AE343" i="204"/>
  <c r="AC343" i="204"/>
  <c r="AA343" i="204"/>
  <c r="Z343" i="204"/>
  <c r="Y343" i="204"/>
  <c r="X343" i="204"/>
  <c r="W343" i="204"/>
  <c r="V343" i="204"/>
  <c r="AH342" i="204"/>
  <c r="AG342" i="204"/>
  <c r="AF342" i="204"/>
  <c r="AE342" i="204"/>
  <c r="AC342" i="204"/>
  <c r="AA342" i="204"/>
  <c r="Z342" i="204"/>
  <c r="Y342" i="204"/>
  <c r="X342" i="204"/>
  <c r="W342" i="204"/>
  <c r="V342" i="204"/>
  <c r="AH341" i="204"/>
  <c r="AG341" i="204"/>
  <c r="AF341" i="204"/>
  <c r="AE341" i="204"/>
  <c r="AC341" i="204"/>
  <c r="AA341" i="204"/>
  <c r="Z341" i="204"/>
  <c r="Y341" i="204"/>
  <c r="X341" i="204"/>
  <c r="W341" i="204"/>
  <c r="V341" i="204"/>
  <c r="AH340" i="204"/>
  <c r="AG340" i="204"/>
  <c r="AF340" i="204"/>
  <c r="AE340" i="204"/>
  <c r="AC340" i="204"/>
  <c r="AA340" i="204"/>
  <c r="Z340" i="204"/>
  <c r="Y340" i="204"/>
  <c r="X340" i="204"/>
  <c r="W340" i="204"/>
  <c r="V340" i="204"/>
  <c r="AH339" i="204"/>
  <c r="AG339" i="204"/>
  <c r="AF339" i="204"/>
  <c r="AE339" i="204"/>
  <c r="AC339" i="204"/>
  <c r="AA339" i="204"/>
  <c r="Z339" i="204"/>
  <c r="Y339" i="204"/>
  <c r="X339" i="204"/>
  <c r="W339" i="204"/>
  <c r="V339" i="204"/>
  <c r="AH338" i="204"/>
  <c r="AG338" i="204"/>
  <c r="AF338" i="204"/>
  <c r="AE338" i="204"/>
  <c r="AC338" i="204"/>
  <c r="AA338" i="204"/>
  <c r="Z338" i="204"/>
  <c r="Y338" i="204"/>
  <c r="X338" i="204"/>
  <c r="W338" i="204"/>
  <c r="V338" i="204"/>
  <c r="AH337" i="204"/>
  <c r="AG337" i="204"/>
  <c r="AF337" i="204"/>
  <c r="AE337" i="204"/>
  <c r="AC337" i="204"/>
  <c r="AA337" i="204"/>
  <c r="Z337" i="204"/>
  <c r="Y337" i="204"/>
  <c r="X337" i="204"/>
  <c r="W337" i="204"/>
  <c r="V337" i="204"/>
  <c r="AH336" i="204"/>
  <c r="AG336" i="204"/>
  <c r="AF336" i="204"/>
  <c r="AE336" i="204"/>
  <c r="AC336" i="204"/>
  <c r="AA336" i="204"/>
  <c r="Z336" i="204"/>
  <c r="Y336" i="204"/>
  <c r="X336" i="204"/>
  <c r="W336" i="204"/>
  <c r="V336" i="204"/>
  <c r="AH335" i="204"/>
  <c r="AG335" i="204"/>
  <c r="AF335" i="204"/>
  <c r="AE335" i="204"/>
  <c r="AC335" i="204"/>
  <c r="AA335" i="204"/>
  <c r="Z335" i="204"/>
  <c r="Y335" i="204"/>
  <c r="X335" i="204"/>
  <c r="W335" i="204"/>
  <c r="V335" i="204"/>
  <c r="AH334" i="204"/>
  <c r="AG334" i="204"/>
  <c r="AF334" i="204"/>
  <c r="AE334" i="204"/>
  <c r="AC334" i="204"/>
  <c r="AA334" i="204"/>
  <c r="Z334" i="204"/>
  <c r="Y334" i="204"/>
  <c r="X334" i="204"/>
  <c r="W334" i="204"/>
  <c r="V334" i="204"/>
  <c r="AH333" i="204"/>
  <c r="AG333" i="204"/>
  <c r="AF333" i="204"/>
  <c r="AE333" i="204"/>
  <c r="AC333" i="204"/>
  <c r="AA333" i="204"/>
  <c r="Z333" i="204"/>
  <c r="Y333" i="204"/>
  <c r="X333" i="204"/>
  <c r="W333" i="204"/>
  <c r="V333" i="204"/>
  <c r="AH332" i="204"/>
  <c r="AG332" i="204"/>
  <c r="AF332" i="204"/>
  <c r="AE332" i="204"/>
  <c r="AC332" i="204"/>
  <c r="AA332" i="204"/>
  <c r="Z332" i="204"/>
  <c r="Y332" i="204"/>
  <c r="X332" i="204"/>
  <c r="W332" i="204"/>
  <c r="V332" i="204"/>
  <c r="AH331" i="204"/>
  <c r="AG331" i="204"/>
  <c r="AF331" i="204"/>
  <c r="AE331" i="204"/>
  <c r="AC331" i="204"/>
  <c r="AA331" i="204"/>
  <c r="Z331" i="204"/>
  <c r="Y331" i="204"/>
  <c r="X331" i="204"/>
  <c r="W331" i="204"/>
  <c r="V331" i="204"/>
  <c r="AH330" i="204"/>
  <c r="AG330" i="204"/>
  <c r="AF330" i="204"/>
  <c r="AE330" i="204"/>
  <c r="AC330" i="204"/>
  <c r="AA330" i="204"/>
  <c r="Z330" i="204"/>
  <c r="Y330" i="204"/>
  <c r="X330" i="204"/>
  <c r="W330" i="204"/>
  <c r="V330" i="204"/>
  <c r="AH329" i="204"/>
  <c r="AG329" i="204"/>
  <c r="AF329" i="204"/>
  <c r="AE329" i="204"/>
  <c r="AC329" i="204"/>
  <c r="AA329" i="204"/>
  <c r="Z329" i="204"/>
  <c r="Y329" i="204"/>
  <c r="X329" i="204"/>
  <c r="W329" i="204"/>
  <c r="V329" i="204"/>
  <c r="AH328" i="204"/>
  <c r="AG328" i="204"/>
  <c r="AF328" i="204"/>
  <c r="AE328" i="204"/>
  <c r="AC328" i="204"/>
  <c r="AA328" i="204"/>
  <c r="Z328" i="204"/>
  <c r="Y328" i="204"/>
  <c r="X328" i="204"/>
  <c r="W328" i="204"/>
  <c r="V328" i="204"/>
  <c r="AH327" i="204"/>
  <c r="AG327" i="204"/>
  <c r="AF327" i="204"/>
  <c r="AE327" i="204"/>
  <c r="AC327" i="204"/>
  <c r="AA327" i="204"/>
  <c r="Z327" i="204"/>
  <c r="Y327" i="204"/>
  <c r="X327" i="204"/>
  <c r="W327" i="204"/>
  <c r="V327" i="204"/>
  <c r="AH326" i="204"/>
  <c r="AG326" i="204"/>
  <c r="AF326" i="204"/>
  <c r="AE326" i="204"/>
  <c r="AC326" i="204"/>
  <c r="AA326" i="204"/>
  <c r="Z326" i="204"/>
  <c r="Y326" i="204"/>
  <c r="X326" i="204"/>
  <c r="W326" i="204"/>
  <c r="V326" i="204"/>
  <c r="AH325" i="204"/>
  <c r="AG325" i="204"/>
  <c r="AF325" i="204"/>
  <c r="AE325" i="204"/>
  <c r="AC325" i="204"/>
  <c r="AA325" i="204"/>
  <c r="Z325" i="204"/>
  <c r="Y325" i="204"/>
  <c r="X325" i="204"/>
  <c r="W325" i="204"/>
  <c r="V325" i="204"/>
  <c r="AH324" i="204"/>
  <c r="AG324" i="204"/>
  <c r="AF324" i="204"/>
  <c r="AE324" i="204"/>
  <c r="AC324" i="204"/>
  <c r="AA324" i="204"/>
  <c r="Z324" i="204"/>
  <c r="Y324" i="204"/>
  <c r="X324" i="204"/>
  <c r="W324" i="204"/>
  <c r="V324" i="204"/>
  <c r="AH323" i="204"/>
  <c r="AG323" i="204"/>
  <c r="AF323" i="204"/>
  <c r="AE323" i="204"/>
  <c r="AC323" i="204"/>
  <c r="AA323" i="204"/>
  <c r="Z323" i="204"/>
  <c r="Y323" i="204"/>
  <c r="X323" i="204"/>
  <c r="W323" i="204"/>
  <c r="V323" i="204"/>
  <c r="AH322" i="204"/>
  <c r="AG322" i="204"/>
  <c r="AF322" i="204"/>
  <c r="AE322" i="204"/>
  <c r="AC322" i="204"/>
  <c r="AA322" i="204"/>
  <c r="Z322" i="204"/>
  <c r="Y322" i="204"/>
  <c r="X322" i="204"/>
  <c r="W322" i="204"/>
  <c r="V322" i="204"/>
  <c r="AH321" i="204"/>
  <c r="AG321" i="204"/>
  <c r="AF321" i="204"/>
  <c r="AE321" i="204"/>
  <c r="AC321" i="204"/>
  <c r="AA321" i="204"/>
  <c r="Z321" i="204"/>
  <c r="Y321" i="204"/>
  <c r="X321" i="204"/>
  <c r="W321" i="204"/>
  <c r="V321" i="204"/>
  <c r="AH320" i="204"/>
  <c r="AG320" i="204"/>
  <c r="AF320" i="204"/>
  <c r="AE320" i="204"/>
  <c r="AC320" i="204"/>
  <c r="AA320" i="204"/>
  <c r="Z320" i="204"/>
  <c r="Y320" i="204"/>
  <c r="X320" i="204"/>
  <c r="W320" i="204"/>
  <c r="V320" i="204"/>
  <c r="AH319" i="204"/>
  <c r="AG319" i="204"/>
  <c r="AF319" i="204"/>
  <c r="AE319" i="204"/>
  <c r="AC319" i="204"/>
  <c r="AA319" i="204"/>
  <c r="Z319" i="204"/>
  <c r="Y319" i="204"/>
  <c r="X319" i="204"/>
  <c r="W319" i="204"/>
  <c r="V319" i="204"/>
  <c r="AH318" i="204"/>
  <c r="AG318" i="204"/>
  <c r="AF318" i="204"/>
  <c r="AE318" i="204"/>
  <c r="AC318" i="204"/>
  <c r="AA318" i="204"/>
  <c r="Z318" i="204"/>
  <c r="Y318" i="204"/>
  <c r="X318" i="204"/>
  <c r="W318" i="204"/>
  <c r="V318" i="204"/>
  <c r="AH317" i="204"/>
  <c r="AG317" i="204"/>
  <c r="AF317" i="204"/>
  <c r="AE317" i="204"/>
  <c r="AC317" i="204"/>
  <c r="AA317" i="204"/>
  <c r="Z317" i="204"/>
  <c r="Y317" i="204"/>
  <c r="X317" i="204"/>
  <c r="W317" i="204"/>
  <c r="V317" i="204"/>
  <c r="AH316" i="204"/>
  <c r="AG316" i="204"/>
  <c r="AF316" i="204"/>
  <c r="AE316" i="204"/>
  <c r="AC316" i="204"/>
  <c r="AA316" i="204"/>
  <c r="Z316" i="204"/>
  <c r="Y316" i="204"/>
  <c r="X316" i="204"/>
  <c r="W316" i="204"/>
  <c r="V316" i="204"/>
  <c r="AH315" i="204"/>
  <c r="AG315" i="204"/>
  <c r="AF315" i="204"/>
  <c r="AE315" i="204"/>
  <c r="AC315" i="204"/>
  <c r="AA315" i="204"/>
  <c r="Z315" i="204"/>
  <c r="Y315" i="204"/>
  <c r="X315" i="204"/>
  <c r="W315" i="204"/>
  <c r="V315" i="204"/>
  <c r="AH314" i="204"/>
  <c r="AG314" i="204"/>
  <c r="AF314" i="204"/>
  <c r="AE314" i="204"/>
  <c r="AC314" i="204"/>
  <c r="AA314" i="204"/>
  <c r="Z314" i="204"/>
  <c r="Y314" i="204"/>
  <c r="X314" i="204"/>
  <c r="W314" i="204"/>
  <c r="V314" i="204"/>
  <c r="AH313" i="204"/>
  <c r="AG313" i="204"/>
  <c r="AF313" i="204"/>
  <c r="AE313" i="204"/>
  <c r="AC313" i="204"/>
  <c r="AA313" i="204"/>
  <c r="Z313" i="204"/>
  <c r="Y313" i="204"/>
  <c r="X313" i="204"/>
  <c r="W313" i="204"/>
  <c r="V313" i="204"/>
  <c r="AH312" i="204"/>
  <c r="AG312" i="204"/>
  <c r="AF312" i="204"/>
  <c r="AE312" i="204"/>
  <c r="AC312" i="204"/>
  <c r="AA312" i="204"/>
  <c r="Z312" i="204"/>
  <c r="Y312" i="204"/>
  <c r="X312" i="204"/>
  <c r="W312" i="204"/>
  <c r="V312" i="204"/>
  <c r="AH311" i="204"/>
  <c r="AG311" i="204"/>
  <c r="AF311" i="204"/>
  <c r="AE311" i="204"/>
  <c r="AC311" i="204"/>
  <c r="AA311" i="204"/>
  <c r="Z311" i="204"/>
  <c r="Y311" i="204"/>
  <c r="X311" i="204"/>
  <c r="W311" i="204"/>
  <c r="V311" i="204"/>
  <c r="N852" i="204" l="1"/>
  <c r="M852" i="204"/>
  <c r="K852" i="204"/>
  <c r="J852" i="204"/>
  <c r="N750" i="204"/>
  <c r="M750" i="204"/>
  <c r="K750" i="204"/>
  <c r="J750" i="204"/>
  <c r="N749" i="204"/>
  <c r="M749" i="204"/>
  <c r="K749" i="204"/>
  <c r="J749" i="204"/>
  <c r="N748" i="204"/>
  <c r="M748" i="204"/>
  <c r="K748" i="204"/>
  <c r="J748" i="204"/>
  <c r="N747" i="204"/>
  <c r="M747" i="204"/>
  <c r="K747" i="204"/>
  <c r="J747" i="204"/>
  <c r="N746" i="204"/>
  <c r="M746" i="204"/>
  <c r="K746" i="204"/>
  <c r="J746" i="204"/>
  <c r="N745" i="204"/>
  <c r="M745" i="204"/>
  <c r="K745" i="204"/>
  <c r="J745" i="204"/>
  <c r="N744" i="204"/>
  <c r="M744" i="204"/>
  <c r="K744" i="204"/>
  <c r="J744" i="204"/>
  <c r="N743" i="204"/>
  <c r="M743" i="204"/>
  <c r="K743" i="204"/>
  <c r="J743" i="204"/>
  <c r="N742" i="204"/>
  <c r="M742" i="204"/>
  <c r="K742" i="204"/>
  <c r="J742" i="204"/>
  <c r="N741" i="204"/>
  <c r="M741" i="204"/>
  <c r="K741" i="204"/>
  <c r="J741" i="204"/>
  <c r="N740" i="204"/>
  <c r="M740" i="204"/>
  <c r="K740" i="204"/>
  <c r="J740" i="204"/>
  <c r="N739" i="204"/>
  <c r="M739" i="204"/>
  <c r="K739" i="204"/>
  <c r="J739" i="204"/>
  <c r="N738" i="204"/>
  <c r="M738" i="204"/>
  <c r="K738" i="204"/>
  <c r="J738" i="204"/>
  <c r="N737" i="204"/>
  <c r="M737" i="204"/>
  <c r="K737" i="204"/>
  <c r="J737" i="204"/>
  <c r="N736" i="204"/>
  <c r="M736" i="204"/>
  <c r="K736" i="204"/>
  <c r="J736" i="204"/>
  <c r="N735" i="204"/>
  <c r="M735" i="204"/>
  <c r="K735" i="204"/>
  <c r="J735" i="204"/>
  <c r="N734" i="204"/>
  <c r="M734" i="204"/>
  <c r="K734" i="204"/>
  <c r="J734" i="204"/>
  <c r="N733" i="204"/>
  <c r="M733" i="204"/>
  <c r="K733" i="204"/>
  <c r="J733" i="204"/>
  <c r="N732" i="204"/>
  <c r="M732" i="204"/>
  <c r="K732" i="204"/>
  <c r="J732" i="204"/>
  <c r="N731" i="204"/>
  <c r="M731" i="204"/>
  <c r="K731" i="204"/>
  <c r="J731" i="204"/>
  <c r="N730" i="204"/>
  <c r="M730" i="204"/>
  <c r="K730" i="204"/>
  <c r="J730" i="204"/>
  <c r="N729" i="204"/>
  <c r="M729" i="204"/>
  <c r="K729" i="204"/>
  <c r="J729" i="204"/>
  <c r="N728" i="204"/>
  <c r="M728" i="204"/>
  <c r="K728" i="204"/>
  <c r="J728" i="204"/>
  <c r="N727" i="204"/>
  <c r="M727" i="204"/>
  <c r="K727" i="204"/>
  <c r="J727" i="204"/>
  <c r="N726" i="204"/>
  <c r="M726" i="204"/>
  <c r="K726" i="204"/>
  <c r="J726" i="204"/>
  <c r="N725" i="204"/>
  <c r="M725" i="204"/>
  <c r="K725" i="204"/>
  <c r="J725" i="204"/>
  <c r="N724" i="204"/>
  <c r="M724" i="204"/>
  <c r="K724" i="204"/>
  <c r="J724" i="204"/>
  <c r="N723" i="204"/>
  <c r="M723" i="204"/>
  <c r="K723" i="204"/>
  <c r="J723" i="204"/>
  <c r="N722" i="204"/>
  <c r="M722" i="204"/>
  <c r="K722" i="204"/>
  <c r="J722" i="204"/>
  <c r="N721" i="204"/>
  <c r="M721" i="204"/>
  <c r="K721" i="204"/>
  <c r="J721" i="204"/>
  <c r="N720" i="204"/>
  <c r="M720" i="204"/>
  <c r="K720" i="204"/>
  <c r="J720" i="204"/>
  <c r="N719" i="204"/>
  <c r="M719" i="204"/>
  <c r="K719" i="204"/>
  <c r="J719" i="204"/>
  <c r="N718" i="204"/>
  <c r="M718" i="204"/>
  <c r="K718" i="204"/>
  <c r="J718" i="204"/>
  <c r="N717" i="204"/>
  <c r="M717" i="204"/>
  <c r="K717" i="204"/>
  <c r="J717" i="204"/>
  <c r="N716" i="204"/>
  <c r="M716" i="204"/>
  <c r="K716" i="204"/>
  <c r="J716" i="204"/>
  <c r="N715" i="204"/>
  <c r="M715" i="204"/>
  <c r="K715" i="204"/>
  <c r="J715" i="204"/>
  <c r="N714" i="204"/>
  <c r="M714" i="204"/>
  <c r="K714" i="204"/>
  <c r="J714" i="204"/>
  <c r="N713" i="204"/>
  <c r="M713" i="204"/>
  <c r="K713" i="204"/>
  <c r="J713" i="204"/>
  <c r="N712" i="204"/>
  <c r="M712" i="204"/>
  <c r="K712" i="204"/>
  <c r="J712" i="204"/>
  <c r="N711" i="204"/>
  <c r="M711" i="204"/>
  <c r="K711" i="204"/>
  <c r="J711" i="204"/>
  <c r="N710" i="204"/>
  <c r="M710" i="204"/>
  <c r="K710" i="204"/>
  <c r="J710" i="204"/>
  <c r="N709" i="204"/>
  <c r="M709" i="204"/>
  <c r="K709" i="204"/>
  <c r="J709" i="204"/>
  <c r="N708" i="204"/>
  <c r="M708" i="204"/>
  <c r="K708" i="204"/>
  <c r="J708" i="204"/>
  <c r="N707" i="204"/>
  <c r="M707" i="204"/>
  <c r="K707" i="204"/>
  <c r="J707" i="204"/>
  <c r="N706" i="204"/>
  <c r="M706" i="204"/>
  <c r="K706" i="204"/>
  <c r="J706" i="204"/>
  <c r="N705" i="204"/>
  <c r="M705" i="204"/>
  <c r="K705" i="204"/>
  <c r="J705" i="204"/>
  <c r="N704" i="204"/>
  <c r="M704" i="204"/>
  <c r="K704" i="204"/>
  <c r="J704" i="204"/>
  <c r="N703" i="204"/>
  <c r="M703" i="204"/>
  <c r="K703" i="204"/>
  <c r="J703" i="204"/>
  <c r="N702" i="204"/>
  <c r="M702" i="204"/>
  <c r="K702" i="204"/>
  <c r="J702" i="204"/>
  <c r="N701" i="204"/>
  <c r="M701" i="204"/>
  <c r="K701" i="204"/>
  <c r="J701" i="204"/>
  <c r="N700" i="204"/>
  <c r="M700" i="204"/>
  <c r="K700" i="204"/>
  <c r="J700" i="204"/>
  <c r="N699" i="204"/>
  <c r="M699" i="204"/>
  <c r="K699" i="204"/>
  <c r="J699" i="204"/>
  <c r="N698" i="204"/>
  <c r="M698" i="204"/>
  <c r="K698" i="204"/>
  <c r="J698" i="204"/>
  <c r="N697" i="204"/>
  <c r="M697" i="204"/>
  <c r="K697" i="204"/>
  <c r="J697" i="204"/>
  <c r="N696" i="204"/>
  <c r="M696" i="204"/>
  <c r="K696" i="204"/>
  <c r="J696" i="204"/>
  <c r="N695" i="204"/>
  <c r="M695" i="204"/>
  <c r="K695" i="204"/>
  <c r="J695" i="204"/>
  <c r="N694" i="204"/>
  <c r="M694" i="204"/>
  <c r="K694" i="204"/>
  <c r="J694" i="204"/>
  <c r="N693" i="204"/>
  <c r="M693" i="204"/>
  <c r="K693" i="204"/>
  <c r="J693" i="204"/>
  <c r="N692" i="204"/>
  <c r="M692" i="204"/>
  <c r="K692" i="204"/>
  <c r="J692" i="204"/>
  <c r="N691" i="204"/>
  <c r="M691" i="204"/>
  <c r="K691" i="204"/>
  <c r="J691" i="204"/>
  <c r="N690" i="204"/>
  <c r="M690" i="204"/>
  <c r="K690" i="204"/>
  <c r="J690" i="204"/>
  <c r="N689" i="204"/>
  <c r="M689" i="204"/>
  <c r="K689" i="204"/>
  <c r="J689" i="204"/>
  <c r="N688" i="204"/>
  <c r="M688" i="204"/>
  <c r="K688" i="204"/>
  <c r="J688" i="204"/>
  <c r="N687" i="204"/>
  <c r="M687" i="204"/>
  <c r="K687" i="204"/>
  <c r="J687" i="204"/>
  <c r="N686" i="204"/>
  <c r="M686" i="204"/>
  <c r="K686" i="204"/>
  <c r="J686" i="204"/>
  <c r="N685" i="204"/>
  <c r="M685" i="204"/>
  <c r="K685" i="204"/>
  <c r="J685" i="204"/>
  <c r="N684" i="204"/>
  <c r="M684" i="204"/>
  <c r="K684" i="204"/>
  <c r="J684" i="204"/>
  <c r="N683" i="204"/>
  <c r="M683" i="204"/>
  <c r="K683" i="204"/>
  <c r="J683" i="204"/>
  <c r="N682" i="204"/>
  <c r="M682" i="204"/>
  <c r="K682" i="204"/>
  <c r="J682" i="204"/>
  <c r="N681" i="204"/>
  <c r="M681" i="204"/>
  <c r="K681" i="204"/>
  <c r="J681" i="204"/>
  <c r="N680" i="204"/>
  <c r="M680" i="204"/>
  <c r="K680" i="204"/>
  <c r="J680" i="204"/>
  <c r="N679" i="204"/>
  <c r="M679" i="204"/>
  <c r="K679" i="204"/>
  <c r="J679" i="204"/>
  <c r="N678" i="204"/>
  <c r="M678" i="204"/>
  <c r="K678" i="204"/>
  <c r="J678" i="204"/>
  <c r="N677" i="204"/>
  <c r="M677" i="204"/>
  <c r="K677" i="204"/>
  <c r="J677" i="204"/>
  <c r="N676" i="204"/>
  <c r="M676" i="204"/>
  <c r="K676" i="204"/>
  <c r="J676" i="204"/>
  <c r="N675" i="204"/>
  <c r="M675" i="204"/>
  <c r="K675" i="204"/>
  <c r="J675" i="204"/>
  <c r="N674" i="204"/>
  <c r="M674" i="204"/>
  <c r="K674" i="204"/>
  <c r="J674" i="204"/>
  <c r="N673" i="204"/>
  <c r="M673" i="204"/>
  <c r="K673" i="204"/>
  <c r="J673" i="204"/>
  <c r="N672" i="204"/>
  <c r="M672" i="204"/>
  <c r="K672" i="204"/>
  <c r="J672" i="204"/>
  <c r="N671" i="204"/>
  <c r="M671" i="204"/>
  <c r="K671" i="204"/>
  <c r="J671" i="204"/>
  <c r="N670" i="204"/>
  <c r="M670" i="204"/>
  <c r="K670" i="204"/>
  <c r="J670" i="204"/>
  <c r="N669" i="204"/>
  <c r="M669" i="204"/>
  <c r="K669" i="204"/>
  <c r="J669" i="204"/>
  <c r="N668" i="204"/>
  <c r="M668" i="204"/>
  <c r="K668" i="204"/>
  <c r="J668" i="204"/>
  <c r="N667" i="204"/>
  <c r="M667" i="204"/>
  <c r="K667" i="204"/>
  <c r="J667" i="204"/>
  <c r="N666" i="204"/>
  <c r="M666" i="204"/>
  <c r="K666" i="204"/>
  <c r="J666" i="204"/>
  <c r="N665" i="204"/>
  <c r="M665" i="204"/>
  <c r="K665" i="204"/>
  <c r="J665" i="204"/>
  <c r="N664" i="204"/>
  <c r="M664" i="204"/>
  <c r="K664" i="204"/>
  <c r="J664" i="204"/>
  <c r="N663" i="204"/>
  <c r="M663" i="204"/>
  <c r="K663" i="204"/>
  <c r="J663" i="204"/>
  <c r="N662" i="204"/>
  <c r="M662" i="204"/>
  <c r="K662" i="204"/>
  <c r="J662" i="204"/>
  <c r="N661" i="204"/>
  <c r="M661" i="204"/>
  <c r="K661" i="204"/>
  <c r="J661" i="204"/>
  <c r="N660" i="204"/>
  <c r="M660" i="204"/>
  <c r="K660" i="204"/>
  <c r="J660" i="204"/>
  <c r="N659" i="204"/>
  <c r="M659" i="204"/>
  <c r="K659" i="204"/>
  <c r="J659" i="204"/>
  <c r="N658" i="204"/>
  <c r="M658" i="204"/>
  <c r="K658" i="204"/>
  <c r="J658" i="204"/>
  <c r="N657" i="204"/>
  <c r="M657" i="204"/>
  <c r="K657" i="204"/>
  <c r="J657" i="204"/>
  <c r="N656" i="204"/>
  <c r="M656" i="204"/>
  <c r="K656" i="204"/>
  <c r="J656" i="204"/>
  <c r="N655" i="204"/>
  <c r="M655" i="204"/>
  <c r="K655" i="204"/>
  <c r="J655" i="204"/>
  <c r="N654" i="204"/>
  <c r="M654" i="204"/>
  <c r="K654" i="204"/>
  <c r="J654" i="204"/>
  <c r="N653" i="204"/>
  <c r="M653" i="204"/>
  <c r="K653" i="204"/>
  <c r="J653" i="204"/>
  <c r="N652" i="204"/>
  <c r="M652" i="204"/>
  <c r="K652" i="204"/>
  <c r="J652" i="204"/>
  <c r="N651" i="204"/>
  <c r="M651" i="204"/>
  <c r="K651" i="204"/>
  <c r="J651" i="204"/>
  <c r="N650" i="204"/>
  <c r="M650" i="204"/>
  <c r="K650" i="204"/>
  <c r="J650" i="204"/>
  <c r="N649" i="204"/>
  <c r="M649" i="204"/>
  <c r="K649" i="204"/>
  <c r="J649" i="204"/>
  <c r="N648" i="204"/>
  <c r="M648" i="204"/>
  <c r="K648" i="204"/>
  <c r="J648" i="204"/>
  <c r="N647" i="204"/>
  <c r="M647" i="204"/>
  <c r="K647" i="204"/>
  <c r="J647" i="204"/>
  <c r="N646" i="204"/>
  <c r="M646" i="204"/>
  <c r="K646" i="204"/>
  <c r="J646" i="204"/>
  <c r="N645" i="204"/>
  <c r="M645" i="204"/>
  <c r="K645" i="204"/>
  <c r="J645" i="204"/>
  <c r="N644" i="204"/>
  <c r="M644" i="204"/>
  <c r="K644" i="204"/>
  <c r="J644" i="204"/>
  <c r="N643" i="204"/>
  <c r="M643" i="204"/>
  <c r="K643" i="204"/>
  <c r="J643" i="204"/>
  <c r="N642" i="204"/>
  <c r="M642" i="204"/>
  <c r="K642" i="204"/>
  <c r="J642" i="204"/>
  <c r="N641" i="204"/>
  <c r="M641" i="204"/>
  <c r="K641" i="204"/>
  <c r="J641" i="204"/>
  <c r="N640" i="204"/>
  <c r="M640" i="204"/>
  <c r="K640" i="204"/>
  <c r="J640" i="204"/>
  <c r="N639" i="204"/>
  <c r="M639" i="204"/>
  <c r="K639" i="204"/>
  <c r="J639" i="204"/>
  <c r="N638" i="204"/>
  <c r="M638" i="204"/>
  <c r="K638" i="204"/>
  <c r="J638" i="204"/>
  <c r="N637" i="204"/>
  <c r="M637" i="204"/>
  <c r="K637" i="204"/>
  <c r="J637" i="204"/>
  <c r="N636" i="204"/>
  <c r="M636" i="204"/>
  <c r="K636" i="204"/>
  <c r="J636" i="204"/>
  <c r="N635" i="204"/>
  <c r="M635" i="204"/>
  <c r="K635" i="204"/>
  <c r="J635" i="204"/>
  <c r="N634" i="204"/>
  <c r="M634" i="204"/>
  <c r="K634" i="204"/>
  <c r="J634" i="204"/>
  <c r="N633" i="204"/>
  <c r="M633" i="204"/>
  <c r="K633" i="204"/>
  <c r="J633" i="204"/>
  <c r="N632" i="204"/>
  <c r="M632" i="204"/>
  <c r="K632" i="204"/>
  <c r="J632" i="204"/>
  <c r="N631" i="204"/>
  <c r="M631" i="204"/>
  <c r="K631" i="204"/>
  <c r="J631" i="204"/>
  <c r="N630" i="204"/>
  <c r="M630" i="204"/>
  <c r="K630" i="204"/>
  <c r="J630" i="204"/>
  <c r="N629" i="204"/>
  <c r="M629" i="204"/>
  <c r="K629" i="204"/>
  <c r="J629" i="204"/>
  <c r="N628" i="204"/>
  <c r="M628" i="204"/>
  <c r="K628" i="204"/>
  <c r="J628" i="204"/>
  <c r="N627" i="204"/>
  <c r="M627" i="204"/>
  <c r="K627" i="204"/>
  <c r="J627" i="204"/>
  <c r="N626" i="204"/>
  <c r="M626" i="204"/>
  <c r="K626" i="204"/>
  <c r="J626" i="204"/>
  <c r="N625" i="204"/>
  <c r="M625" i="204"/>
  <c r="K625" i="204"/>
  <c r="J625" i="204"/>
  <c r="N624" i="204"/>
  <c r="M624" i="204"/>
  <c r="K624" i="204"/>
  <c r="J624" i="204"/>
  <c r="N623" i="204"/>
  <c r="M623" i="204"/>
  <c r="K623" i="204"/>
  <c r="J623" i="204"/>
  <c r="N622" i="204"/>
  <c r="M622" i="204"/>
  <c r="K622" i="204"/>
  <c r="J622" i="204"/>
  <c r="N621" i="204"/>
  <c r="M621" i="204"/>
  <c r="K621" i="204"/>
  <c r="J621" i="204"/>
  <c r="N620" i="204"/>
  <c r="M620" i="204"/>
  <c r="K620" i="204"/>
  <c r="J620" i="204"/>
  <c r="N619" i="204"/>
  <c r="M619" i="204"/>
  <c r="K619" i="204"/>
  <c r="J619" i="204"/>
  <c r="N618" i="204"/>
  <c r="M618" i="204"/>
  <c r="K618" i="204"/>
  <c r="J618" i="204"/>
  <c r="N617" i="204"/>
  <c r="M617" i="204"/>
  <c r="K617" i="204"/>
  <c r="J617" i="204"/>
  <c r="N616" i="204"/>
  <c r="M616" i="204"/>
  <c r="K616" i="204"/>
  <c r="J616" i="204"/>
  <c r="N615" i="204"/>
  <c r="M615" i="204"/>
  <c r="K615" i="204"/>
  <c r="J615" i="204"/>
  <c r="N614" i="204"/>
  <c r="M614" i="204"/>
  <c r="K614" i="204"/>
  <c r="J614" i="204"/>
  <c r="N613" i="204"/>
  <c r="M613" i="204"/>
  <c r="K613" i="204"/>
  <c r="J613" i="204"/>
  <c r="N612" i="204"/>
  <c r="M612" i="204"/>
  <c r="K612" i="204"/>
  <c r="J612" i="204"/>
  <c r="N611" i="204"/>
  <c r="M611" i="204"/>
  <c r="K611" i="204"/>
  <c r="J611" i="204"/>
  <c r="N610" i="204"/>
  <c r="M610" i="204"/>
  <c r="K610" i="204"/>
  <c r="J610" i="204"/>
  <c r="N609" i="204"/>
  <c r="M609" i="204"/>
  <c r="K609" i="204"/>
  <c r="J609" i="204"/>
  <c r="N608" i="204"/>
  <c r="M608" i="204"/>
  <c r="K608" i="204"/>
  <c r="J608" i="204"/>
  <c r="N607" i="204"/>
  <c r="M607" i="204"/>
  <c r="K607" i="204"/>
  <c r="J607" i="204"/>
  <c r="N606" i="204"/>
  <c r="M606" i="204"/>
  <c r="K606" i="204"/>
  <c r="J606" i="204"/>
  <c r="N605" i="204"/>
  <c r="M605" i="204"/>
  <c r="K605" i="204"/>
  <c r="J605" i="204"/>
  <c r="N604" i="204"/>
  <c r="M604" i="204"/>
  <c r="K604" i="204"/>
  <c r="J604" i="204"/>
  <c r="N603" i="204"/>
  <c r="M603" i="204"/>
  <c r="K603" i="204"/>
  <c r="J603" i="204"/>
  <c r="N602" i="204"/>
  <c r="M602" i="204"/>
  <c r="K602" i="204"/>
  <c r="J602" i="204"/>
  <c r="N601" i="204"/>
  <c r="M601" i="204"/>
  <c r="K601" i="204"/>
  <c r="J601" i="204"/>
  <c r="N600" i="204"/>
  <c r="M600" i="204"/>
  <c r="K600" i="204"/>
  <c r="J600" i="204"/>
  <c r="N599" i="204"/>
  <c r="M599" i="204"/>
  <c r="K599" i="204"/>
  <c r="J599" i="204"/>
  <c r="N598" i="204"/>
  <c r="M598" i="204"/>
  <c r="K598" i="204"/>
  <c r="J598" i="204"/>
  <c r="N597" i="204"/>
  <c r="M597" i="204"/>
  <c r="K597" i="204"/>
  <c r="J597" i="204"/>
  <c r="N596" i="204"/>
  <c r="M596" i="204"/>
  <c r="K596" i="204"/>
  <c r="J596" i="204"/>
  <c r="N595" i="204"/>
  <c r="M595" i="204"/>
  <c r="K595" i="204"/>
  <c r="J595" i="204"/>
  <c r="N594" i="204"/>
  <c r="M594" i="204"/>
  <c r="K594" i="204"/>
  <c r="J594" i="204"/>
  <c r="N593" i="204"/>
  <c r="M593" i="204"/>
  <c r="K593" i="204"/>
  <c r="J593" i="204"/>
  <c r="N592" i="204"/>
  <c r="M592" i="204"/>
  <c r="K592" i="204"/>
  <c r="J592" i="204"/>
  <c r="AH117" i="204"/>
  <c r="AG117" i="204"/>
  <c r="AF117" i="204"/>
  <c r="AE117" i="204"/>
  <c r="AC117" i="204"/>
  <c r="AA117" i="204"/>
  <c r="Z117" i="204"/>
  <c r="Y117" i="204"/>
  <c r="X117" i="204"/>
  <c r="W117" i="204"/>
  <c r="V117" i="204"/>
  <c r="AH116" i="204"/>
  <c r="AG116" i="204"/>
  <c r="AF116" i="204"/>
  <c r="AE116" i="204"/>
  <c r="AC116" i="204"/>
  <c r="AA116" i="204"/>
  <c r="Z116" i="204"/>
  <c r="Y116" i="204"/>
  <c r="X116" i="204"/>
  <c r="W116" i="204"/>
  <c r="V116" i="204"/>
  <c r="AH115" i="204"/>
  <c r="AG115" i="204"/>
  <c r="AF115" i="204"/>
  <c r="AE115" i="204"/>
  <c r="AC115" i="204"/>
  <c r="AA115" i="204"/>
  <c r="Z115" i="204"/>
  <c r="Y115" i="204"/>
  <c r="X115" i="204"/>
  <c r="W115" i="204"/>
  <c r="V115" i="204"/>
  <c r="AH114" i="204"/>
  <c r="AG114" i="204"/>
  <c r="AF114" i="204"/>
  <c r="AE114" i="204"/>
  <c r="AC114" i="204"/>
  <c r="AA114" i="204"/>
  <c r="Z114" i="204"/>
  <c r="Y114" i="204"/>
  <c r="X114" i="204"/>
  <c r="W114" i="204"/>
  <c r="V114" i="204"/>
  <c r="AH113" i="204"/>
  <c r="AG113" i="204"/>
  <c r="AF113" i="204"/>
  <c r="AE113" i="204"/>
  <c r="AC113" i="204"/>
  <c r="AA113" i="204"/>
  <c r="Z113" i="204"/>
  <c r="Y113" i="204"/>
  <c r="X113" i="204"/>
  <c r="W113" i="204"/>
  <c r="V113" i="204"/>
  <c r="AH112" i="204"/>
  <c r="AG112" i="204"/>
  <c r="AF112" i="204"/>
  <c r="AE112" i="204"/>
  <c r="AC112" i="204"/>
  <c r="AA112" i="204"/>
  <c r="Z112" i="204"/>
  <c r="Y112" i="204"/>
  <c r="X112" i="204"/>
  <c r="W112" i="204"/>
  <c r="V112" i="204"/>
  <c r="AH111" i="204"/>
  <c r="AG111" i="204"/>
  <c r="AF111" i="204"/>
  <c r="AE111" i="204"/>
  <c r="AC111" i="204"/>
  <c r="AA111" i="204"/>
  <c r="Z111" i="204"/>
  <c r="Y111" i="204"/>
  <c r="X111" i="204"/>
  <c r="W111" i="204"/>
  <c r="V111" i="204"/>
  <c r="AH110" i="204"/>
  <c r="AG110" i="204"/>
  <c r="AF110" i="204"/>
  <c r="AE110" i="204"/>
  <c r="AC110" i="204"/>
  <c r="AA110" i="204"/>
  <c r="Z110" i="204"/>
  <c r="Y110" i="204"/>
  <c r="X110" i="204"/>
  <c r="W110" i="204"/>
  <c r="V110" i="204"/>
  <c r="AH109" i="204"/>
  <c r="AG109" i="204"/>
  <c r="AF109" i="204"/>
  <c r="AE109" i="204"/>
  <c r="AC109" i="204"/>
  <c r="AA109" i="204"/>
  <c r="Z109" i="204"/>
  <c r="Y109" i="204"/>
  <c r="X109" i="204"/>
  <c r="W109" i="204"/>
  <c r="V109" i="204"/>
  <c r="AH108" i="204"/>
  <c r="AG108" i="204"/>
  <c r="AF108" i="204"/>
  <c r="AE108" i="204"/>
  <c r="AC108" i="204"/>
  <c r="AA108" i="204"/>
  <c r="Z108" i="204"/>
  <c r="Y108" i="204"/>
  <c r="X108" i="204"/>
  <c r="W108" i="204"/>
  <c r="V108" i="204"/>
  <c r="AH107" i="204"/>
  <c r="AG107" i="204"/>
  <c r="AF107" i="204"/>
  <c r="AE107" i="204"/>
  <c r="AC107" i="204"/>
  <c r="AA107" i="204"/>
  <c r="Z107" i="204"/>
  <c r="Y107" i="204"/>
  <c r="X107" i="204"/>
  <c r="W107" i="204"/>
  <c r="V107" i="204"/>
  <c r="AH106" i="204"/>
  <c r="AG106" i="204"/>
  <c r="AF106" i="204"/>
  <c r="AE106" i="204"/>
  <c r="AC106" i="204"/>
  <c r="AA106" i="204"/>
  <c r="Z106" i="204"/>
  <c r="Y106" i="204"/>
  <c r="X106" i="204"/>
  <c r="W106" i="204"/>
  <c r="V106" i="204"/>
  <c r="AH105" i="204"/>
  <c r="AG105" i="204"/>
  <c r="AF105" i="204"/>
  <c r="AE105" i="204"/>
  <c r="AC105" i="204"/>
  <c r="AA105" i="204"/>
  <c r="Z105" i="204"/>
  <c r="Y105" i="204"/>
  <c r="X105" i="204"/>
  <c r="W105" i="204"/>
  <c r="V105" i="204"/>
  <c r="AH104" i="204"/>
  <c r="AG104" i="204"/>
  <c r="AF104" i="204"/>
  <c r="AE104" i="204"/>
  <c r="AC104" i="204"/>
  <c r="AA104" i="204"/>
  <c r="Z104" i="204"/>
  <c r="Y104" i="204"/>
  <c r="X104" i="204"/>
  <c r="W104" i="204"/>
  <c r="V104" i="204"/>
  <c r="AH103" i="204"/>
  <c r="AG103" i="204"/>
  <c r="AF103" i="204"/>
  <c r="AE103" i="204"/>
  <c r="AC103" i="204"/>
  <c r="AA103" i="204"/>
  <c r="Z103" i="204"/>
  <c r="Y103" i="204"/>
  <c r="X103" i="204"/>
  <c r="W103" i="204"/>
  <c r="V103" i="204"/>
  <c r="AH102" i="204"/>
  <c r="AG102" i="204"/>
  <c r="AF102" i="204"/>
  <c r="AE102" i="204"/>
  <c r="AC102" i="204"/>
  <c r="AA102" i="204"/>
  <c r="Z102" i="204"/>
  <c r="Y102" i="204"/>
  <c r="X102" i="204"/>
  <c r="W102" i="204"/>
  <c r="V102" i="204"/>
  <c r="AH101" i="204"/>
  <c r="AG101" i="204"/>
  <c r="AF101" i="204"/>
  <c r="AE101" i="204"/>
  <c r="AC101" i="204"/>
  <c r="AA101" i="204"/>
  <c r="Z101" i="204"/>
  <c r="Y101" i="204"/>
  <c r="X101" i="204"/>
  <c r="W101" i="204"/>
  <c r="V101" i="204"/>
  <c r="AH100" i="204"/>
  <c r="AG100" i="204"/>
  <c r="AF100" i="204"/>
  <c r="AE100" i="204"/>
  <c r="AC100" i="204"/>
  <c r="AA100" i="204"/>
  <c r="Z100" i="204"/>
  <c r="Y100" i="204"/>
  <c r="X100" i="204"/>
  <c r="W100" i="204"/>
  <c r="V100" i="204"/>
  <c r="AH99" i="204"/>
  <c r="AG99" i="204"/>
  <c r="AF99" i="204"/>
  <c r="AE99" i="204"/>
  <c r="AC99" i="204"/>
  <c r="AA99" i="204"/>
  <c r="Z99" i="204"/>
  <c r="Y99" i="204"/>
  <c r="X99" i="204"/>
  <c r="W99" i="204"/>
  <c r="V99" i="204"/>
  <c r="AH98" i="204"/>
  <c r="AG98" i="204"/>
  <c r="AF98" i="204"/>
  <c r="AE98" i="204"/>
  <c r="AC98" i="204"/>
  <c r="AA98" i="204"/>
  <c r="Z98" i="204"/>
  <c r="Y98" i="204"/>
  <c r="X98" i="204"/>
  <c r="W98" i="204"/>
  <c r="V98" i="204"/>
  <c r="AH97" i="204"/>
  <c r="AG97" i="204"/>
  <c r="AF97" i="204"/>
  <c r="AE97" i="204"/>
  <c r="AC97" i="204"/>
  <c r="AA97" i="204"/>
  <c r="Z97" i="204"/>
  <c r="Y97" i="204"/>
  <c r="X97" i="204"/>
  <c r="W97" i="204"/>
  <c r="V97" i="204"/>
  <c r="AH96" i="204"/>
  <c r="AG96" i="204"/>
  <c r="AF96" i="204"/>
  <c r="AE96" i="204"/>
  <c r="AC96" i="204"/>
  <c r="AA96" i="204"/>
  <c r="Z96" i="204"/>
  <c r="Y96" i="204"/>
  <c r="X96" i="204"/>
  <c r="W96" i="204"/>
  <c r="V96" i="204"/>
  <c r="AH95" i="204"/>
  <c r="AG95" i="204"/>
  <c r="AF95" i="204"/>
  <c r="AE95" i="204"/>
  <c r="AC95" i="204"/>
  <c r="AA95" i="204"/>
  <c r="Z95" i="204"/>
  <c r="Y95" i="204"/>
  <c r="X95" i="204"/>
  <c r="W95" i="204"/>
  <c r="V95" i="204"/>
  <c r="AH94" i="204"/>
  <c r="AG94" i="204"/>
  <c r="AF94" i="204"/>
  <c r="AE94" i="204"/>
  <c r="AC94" i="204"/>
  <c r="AA94" i="204"/>
  <c r="Z94" i="204"/>
  <c r="Y94" i="204"/>
  <c r="X94" i="204"/>
  <c r="W94" i="204"/>
  <c r="V94" i="204"/>
  <c r="AH93" i="204"/>
  <c r="AG93" i="204"/>
  <c r="AF93" i="204"/>
  <c r="AE93" i="204"/>
  <c r="AC93" i="204"/>
  <c r="AA93" i="204"/>
  <c r="Z93" i="204"/>
  <c r="Y93" i="204"/>
  <c r="X93" i="204"/>
  <c r="W93" i="204"/>
  <c r="V93" i="204"/>
  <c r="AH92" i="204"/>
  <c r="AG92" i="204"/>
  <c r="AF92" i="204"/>
  <c r="AE92" i="204"/>
  <c r="AC92" i="204"/>
  <c r="AA92" i="204"/>
  <c r="Z92" i="204"/>
  <c r="Y92" i="204"/>
  <c r="X92" i="204"/>
  <c r="W92" i="204"/>
  <c r="V92" i="204"/>
  <c r="AH91" i="204"/>
  <c r="AG91" i="204"/>
  <c r="AF91" i="204"/>
  <c r="AE91" i="204"/>
  <c r="AC91" i="204"/>
  <c r="AA91" i="204"/>
  <c r="Z91" i="204"/>
  <c r="Y91" i="204"/>
  <c r="X91" i="204"/>
  <c r="W91" i="204"/>
  <c r="V91" i="204"/>
  <c r="AH90" i="204"/>
  <c r="AG90" i="204"/>
  <c r="AF90" i="204"/>
  <c r="AE90" i="204"/>
  <c r="AC90" i="204"/>
  <c r="AA90" i="204"/>
  <c r="Z90" i="204"/>
  <c r="Y90" i="204"/>
  <c r="X90" i="204"/>
  <c r="W90" i="204"/>
  <c r="V90" i="204"/>
  <c r="AH89" i="204"/>
  <c r="AG89" i="204"/>
  <c r="AF89" i="204"/>
  <c r="AE89" i="204"/>
  <c r="AC89" i="204"/>
  <c r="AA89" i="204"/>
  <c r="Z89" i="204"/>
  <c r="Y89" i="204"/>
  <c r="X89" i="204"/>
  <c r="W89" i="204"/>
  <c r="V89" i="204"/>
  <c r="AH88" i="204"/>
  <c r="AG88" i="204"/>
  <c r="AF88" i="204"/>
  <c r="AE88" i="204"/>
  <c r="AC88" i="204"/>
  <c r="AA88" i="204"/>
  <c r="Z88" i="204"/>
  <c r="Y88" i="204"/>
  <c r="X88" i="204"/>
  <c r="W88" i="204"/>
  <c r="V88" i="204"/>
  <c r="AH87" i="204"/>
  <c r="AG87" i="204"/>
  <c r="AF87" i="204"/>
  <c r="AE87" i="204"/>
  <c r="AC87" i="204"/>
  <c r="AA87" i="204"/>
  <c r="Z87" i="204"/>
  <c r="Y87" i="204"/>
  <c r="X87" i="204"/>
  <c r="W87" i="204"/>
  <c r="V87" i="204"/>
  <c r="AH86" i="204"/>
  <c r="AG86" i="204"/>
  <c r="AF86" i="204"/>
  <c r="AE86" i="204"/>
  <c r="AC86" i="204"/>
  <c r="AA86" i="204"/>
  <c r="Z86" i="204"/>
  <c r="Y86" i="204"/>
  <c r="X86" i="204"/>
  <c r="W86" i="204"/>
  <c r="V86" i="204"/>
  <c r="AH85" i="204"/>
  <c r="AG85" i="204"/>
  <c r="AF85" i="204"/>
  <c r="AE85" i="204"/>
  <c r="AC85" i="204"/>
  <c r="AA85" i="204"/>
  <c r="Z85" i="204"/>
  <c r="Y85" i="204"/>
  <c r="X85" i="204"/>
  <c r="W85" i="204"/>
  <c r="V85" i="204"/>
  <c r="AH84" i="204"/>
  <c r="AG84" i="204"/>
  <c r="AF84" i="204"/>
  <c r="AE84" i="204"/>
  <c r="AC84" i="204"/>
  <c r="AA84" i="204"/>
  <c r="Z84" i="204"/>
  <c r="Y84" i="204"/>
  <c r="X84" i="204"/>
  <c r="W84" i="204"/>
  <c r="V84" i="204"/>
  <c r="AH83" i="204"/>
  <c r="AG83" i="204"/>
  <c r="AF83" i="204"/>
  <c r="AE83" i="204"/>
  <c r="AC83" i="204"/>
  <c r="AA83" i="204"/>
  <c r="Z83" i="204"/>
  <c r="Y83" i="204"/>
  <c r="X83" i="204"/>
  <c r="W83" i="204"/>
  <c r="V83" i="204"/>
  <c r="AH82" i="204"/>
  <c r="AG82" i="204"/>
  <c r="AF82" i="204"/>
  <c r="AE82" i="204"/>
  <c r="AC82" i="204"/>
  <c r="AA82" i="204"/>
  <c r="Z82" i="204"/>
  <c r="Y82" i="204"/>
  <c r="X82" i="204"/>
  <c r="W82" i="204"/>
  <c r="V82" i="204"/>
  <c r="AH81" i="204"/>
  <c r="AG81" i="204"/>
  <c r="AF81" i="204"/>
  <c r="AE81" i="204"/>
  <c r="AC81" i="204"/>
  <c r="AA81" i="204"/>
  <c r="Z81" i="204"/>
  <c r="Y81" i="204"/>
  <c r="X81" i="204"/>
  <c r="W81" i="204"/>
  <c r="V81" i="204"/>
  <c r="AH80" i="204"/>
  <c r="AG80" i="204"/>
  <c r="AF80" i="204"/>
  <c r="AE80" i="204"/>
  <c r="AC80" i="204"/>
  <c r="AA80" i="204"/>
  <c r="Z80" i="204"/>
  <c r="Y80" i="204"/>
  <c r="X80" i="204"/>
  <c r="W80" i="204"/>
  <c r="V80" i="204"/>
  <c r="AH79" i="204"/>
  <c r="AG79" i="204"/>
  <c r="AF79" i="204"/>
  <c r="AE79" i="204"/>
  <c r="AC79" i="204"/>
  <c r="AA79" i="204"/>
  <c r="Z79" i="204"/>
  <c r="Y79" i="204"/>
  <c r="X79" i="204"/>
  <c r="W79" i="204"/>
  <c r="V79" i="204"/>
  <c r="AH78" i="204"/>
  <c r="AG78" i="204"/>
  <c r="AF78" i="204"/>
  <c r="AE78" i="204"/>
  <c r="AC78" i="204"/>
  <c r="AA78" i="204"/>
  <c r="Z78" i="204"/>
  <c r="Y78" i="204"/>
  <c r="X78" i="204"/>
  <c r="W78" i="204"/>
  <c r="V78" i="204"/>
  <c r="AH77" i="204"/>
  <c r="AG77" i="204"/>
  <c r="AF77" i="204"/>
  <c r="AE77" i="204"/>
  <c r="AC77" i="204"/>
  <c r="AA77" i="204"/>
  <c r="Z77" i="204"/>
  <c r="Y77" i="204"/>
  <c r="X77" i="204"/>
  <c r="W77" i="204"/>
  <c r="V77" i="204"/>
  <c r="AH76" i="204"/>
  <c r="AG76" i="204"/>
  <c r="AF76" i="204"/>
  <c r="AE76" i="204"/>
  <c r="AC76" i="204"/>
  <c r="AA76" i="204"/>
  <c r="Z76" i="204"/>
  <c r="Y76" i="204"/>
  <c r="X76" i="204"/>
  <c r="W76" i="204"/>
  <c r="V76" i="204"/>
  <c r="AH75" i="204"/>
  <c r="AG75" i="204"/>
  <c r="AF75" i="204"/>
  <c r="AE75" i="204"/>
  <c r="AC75" i="204"/>
  <c r="AA75" i="204"/>
  <c r="Z75" i="204"/>
  <c r="Y75" i="204"/>
  <c r="X75" i="204"/>
  <c r="W75" i="204"/>
  <c r="V75" i="204"/>
  <c r="AH74" i="204"/>
  <c r="AG74" i="204"/>
  <c r="AF74" i="204"/>
  <c r="AE74" i="204"/>
  <c r="AC74" i="204"/>
  <c r="AA74" i="204"/>
  <c r="Z74" i="204"/>
  <c r="Y74" i="204"/>
  <c r="X74" i="204"/>
  <c r="W74" i="204"/>
  <c r="V74" i="204"/>
  <c r="AH73" i="204"/>
  <c r="AG73" i="204"/>
  <c r="AF73" i="204"/>
  <c r="AE73" i="204"/>
  <c r="AC73" i="204"/>
  <c r="AA73" i="204"/>
  <c r="Z73" i="204"/>
  <c r="Y73" i="204"/>
  <c r="X73" i="204"/>
  <c r="W73" i="204"/>
  <c r="V73" i="204"/>
  <c r="AH72" i="204"/>
  <c r="AG72" i="204"/>
  <c r="AF72" i="204"/>
  <c r="AE72" i="204"/>
  <c r="AC72" i="204"/>
  <c r="AA72" i="204"/>
  <c r="Z72" i="204"/>
  <c r="Y72" i="204"/>
  <c r="X72" i="204"/>
  <c r="W72" i="204"/>
  <c r="V72" i="204"/>
  <c r="AH71" i="204"/>
  <c r="AG71" i="204"/>
  <c r="AF71" i="204"/>
  <c r="AE71" i="204"/>
  <c r="AC71" i="204"/>
  <c r="AA71" i="204"/>
  <c r="Z71" i="204"/>
  <c r="Y71" i="204"/>
  <c r="X71" i="204"/>
  <c r="W71" i="204"/>
  <c r="V71" i="204"/>
  <c r="AH70" i="204"/>
  <c r="AG70" i="204"/>
  <c r="AF70" i="204"/>
  <c r="AE70" i="204"/>
  <c r="AC70" i="204"/>
  <c r="AA70" i="204"/>
  <c r="Z70" i="204"/>
  <c r="Y70" i="204"/>
  <c r="X70" i="204"/>
  <c r="W70" i="204"/>
  <c r="V70" i="204"/>
  <c r="AH69" i="204"/>
  <c r="AG69" i="204"/>
  <c r="AF69" i="204"/>
  <c r="AE69" i="204"/>
  <c r="AC69" i="204"/>
  <c r="AA69" i="204"/>
  <c r="Z69" i="204"/>
  <c r="Y69" i="204"/>
  <c r="X69" i="204"/>
  <c r="W69" i="204"/>
  <c r="V69" i="204"/>
  <c r="AH68" i="204"/>
  <c r="AG68" i="204"/>
  <c r="AF68" i="204"/>
  <c r="AE68" i="204"/>
  <c r="AC68" i="204"/>
  <c r="AA68" i="204"/>
  <c r="Z68" i="204"/>
  <c r="Y68" i="204"/>
  <c r="X68" i="204"/>
  <c r="W68" i="204"/>
  <c r="V68" i="204"/>
  <c r="AH67" i="204"/>
  <c r="AG67" i="204"/>
  <c r="AF67" i="204"/>
  <c r="AE67" i="204"/>
  <c r="AC67" i="204"/>
  <c r="AA67" i="204"/>
  <c r="Z67" i="204"/>
  <c r="Y67" i="204"/>
  <c r="X67" i="204"/>
  <c r="W67" i="204"/>
  <c r="V67" i="204"/>
  <c r="N591" i="204"/>
  <c r="M591" i="204"/>
  <c r="K591" i="204"/>
  <c r="J591" i="204"/>
  <c r="N590" i="204"/>
  <c r="M590" i="204"/>
  <c r="K590" i="204"/>
  <c r="J590" i="204"/>
  <c r="N589" i="204"/>
  <c r="M589" i="204"/>
  <c r="K589" i="204"/>
  <c r="J589" i="204"/>
  <c r="N588" i="204"/>
  <c r="M588" i="204"/>
  <c r="K588" i="204"/>
  <c r="J588" i="204"/>
  <c r="N587" i="204"/>
  <c r="M587" i="204"/>
  <c r="K587" i="204"/>
  <c r="J587" i="204"/>
  <c r="N586" i="204"/>
  <c r="M586" i="204"/>
  <c r="K586" i="204"/>
  <c r="J586" i="204"/>
  <c r="N585" i="204"/>
  <c r="M585" i="204"/>
  <c r="K585" i="204"/>
  <c r="J585" i="204"/>
  <c r="N584" i="204"/>
  <c r="M584" i="204"/>
  <c r="K584" i="204"/>
  <c r="J584" i="204"/>
  <c r="N583" i="204"/>
  <c r="M583" i="204"/>
  <c r="K583" i="204"/>
  <c r="J583" i="204"/>
  <c r="N582" i="204"/>
  <c r="M582" i="204"/>
  <c r="K582" i="204"/>
  <c r="J582" i="204"/>
  <c r="N581" i="204"/>
  <c r="M581" i="204"/>
  <c r="K581" i="204"/>
  <c r="J581" i="204"/>
  <c r="N580" i="204"/>
  <c r="M580" i="204"/>
  <c r="K580" i="204"/>
  <c r="J580" i="204"/>
  <c r="N579" i="204"/>
  <c r="M579" i="204"/>
  <c r="K579" i="204"/>
  <c r="J579" i="204"/>
  <c r="N578" i="204"/>
  <c r="M578" i="204"/>
  <c r="K578" i="204"/>
  <c r="J578" i="204"/>
  <c r="N577" i="204"/>
  <c r="M577" i="204"/>
  <c r="K577" i="204"/>
  <c r="J577" i="204"/>
  <c r="N576" i="204"/>
  <c r="M576" i="204"/>
  <c r="K576" i="204"/>
  <c r="J576" i="204"/>
  <c r="N575" i="204"/>
  <c r="M575" i="204"/>
  <c r="K575" i="204"/>
  <c r="J575" i="204"/>
  <c r="N574" i="204"/>
  <c r="M574" i="204"/>
  <c r="K574" i="204"/>
  <c r="J574" i="204"/>
  <c r="N573" i="204"/>
  <c r="M573" i="204"/>
  <c r="K573" i="204"/>
  <c r="J573" i="204"/>
  <c r="N572" i="204"/>
  <c r="M572" i="204"/>
  <c r="K572" i="204"/>
  <c r="J572" i="204"/>
  <c r="N571" i="204"/>
  <c r="M571" i="204"/>
  <c r="K571" i="204"/>
  <c r="J571" i="204"/>
  <c r="N570" i="204"/>
  <c r="M570" i="204"/>
  <c r="K570" i="204"/>
  <c r="J570" i="204"/>
  <c r="N569" i="204"/>
  <c r="M569" i="204"/>
  <c r="K569" i="204"/>
  <c r="J569" i="204"/>
  <c r="N568" i="204"/>
  <c r="M568" i="204"/>
  <c r="K568" i="204"/>
  <c r="J568" i="204"/>
  <c r="N567" i="204"/>
  <c r="M567" i="204"/>
  <c r="K567" i="204"/>
  <c r="J567" i="204"/>
  <c r="N566" i="204"/>
  <c r="M566" i="204"/>
  <c r="K566" i="204"/>
  <c r="J566" i="204"/>
  <c r="N565" i="204"/>
  <c r="M565" i="204"/>
  <c r="K565" i="204"/>
  <c r="J565" i="204"/>
  <c r="N564" i="204"/>
  <c r="M564" i="204"/>
  <c r="K564" i="204"/>
  <c r="J564" i="204"/>
  <c r="N563" i="204"/>
  <c r="M563" i="204"/>
  <c r="K563" i="204"/>
  <c r="J563" i="204"/>
  <c r="N562" i="204"/>
  <c r="M562" i="204"/>
  <c r="K562" i="204"/>
  <c r="J562" i="204"/>
  <c r="N561" i="204"/>
  <c r="M561" i="204"/>
  <c r="K561" i="204"/>
  <c r="J561" i="204"/>
  <c r="N560" i="204"/>
  <c r="M560" i="204"/>
  <c r="K560" i="204"/>
  <c r="J560" i="204"/>
  <c r="N559" i="204"/>
  <c r="M559" i="204"/>
  <c r="K559" i="204"/>
  <c r="J559" i="204"/>
  <c r="N558" i="204"/>
  <c r="M558" i="204"/>
  <c r="K558" i="204"/>
  <c r="J558" i="204"/>
  <c r="N557" i="204"/>
  <c r="M557" i="204"/>
  <c r="K557" i="204"/>
  <c r="J557" i="204"/>
  <c r="N556" i="204"/>
  <c r="M556" i="204"/>
  <c r="K556" i="204"/>
  <c r="J556" i="204"/>
  <c r="N555" i="204"/>
  <c r="M555" i="204"/>
  <c r="K555" i="204"/>
  <c r="J555" i="204"/>
  <c r="N554" i="204"/>
  <c r="M554" i="204"/>
  <c r="K554" i="204"/>
  <c r="J554" i="204"/>
  <c r="N553" i="204"/>
  <c r="M553" i="204"/>
  <c r="K553" i="204"/>
  <c r="J553" i="204"/>
  <c r="N552" i="204"/>
  <c r="M552" i="204"/>
  <c r="K552" i="204"/>
  <c r="J552" i="204"/>
  <c r="N551" i="204"/>
  <c r="M551" i="204"/>
  <c r="K551" i="204"/>
  <c r="J551" i="204"/>
  <c r="N550" i="204"/>
  <c r="M550" i="204"/>
  <c r="K550" i="204"/>
  <c r="J550" i="204"/>
  <c r="N549" i="204"/>
  <c r="M549" i="204"/>
  <c r="K549" i="204"/>
  <c r="J549" i="204"/>
  <c r="N548" i="204"/>
  <c r="M548" i="204"/>
  <c r="K548" i="204"/>
  <c r="J548" i="204"/>
  <c r="N547" i="204"/>
  <c r="M547" i="204"/>
  <c r="K547" i="204"/>
  <c r="J547" i="204"/>
  <c r="N546" i="204"/>
  <c r="M546" i="204"/>
  <c r="K546" i="204"/>
  <c r="J546" i="204"/>
  <c r="N545" i="204"/>
  <c r="M545" i="204"/>
  <c r="K545" i="204"/>
  <c r="J545" i="204"/>
  <c r="N544" i="204"/>
  <c r="M544" i="204"/>
  <c r="K544" i="204"/>
  <c r="J544" i="204"/>
  <c r="N543" i="204"/>
  <c r="M543" i="204"/>
  <c r="K543" i="204"/>
  <c r="J543" i="204"/>
  <c r="N542" i="204"/>
  <c r="M542" i="204"/>
  <c r="K542" i="204"/>
  <c r="J542" i="204"/>
  <c r="N541" i="204"/>
  <c r="M541" i="204"/>
  <c r="K541" i="204"/>
  <c r="J541" i="204"/>
  <c r="N540" i="204"/>
  <c r="M540" i="204"/>
  <c r="K540" i="204"/>
  <c r="J540" i="204"/>
  <c r="N539" i="204"/>
  <c r="M539" i="204"/>
  <c r="K539" i="204"/>
  <c r="J539" i="204"/>
  <c r="N538" i="204"/>
  <c r="M538" i="204"/>
  <c r="K538" i="204"/>
  <c r="J538" i="204"/>
  <c r="N537" i="204"/>
  <c r="M537" i="204"/>
  <c r="K537" i="204"/>
  <c r="J537" i="204"/>
  <c r="N536" i="204"/>
  <c r="M536" i="204"/>
  <c r="K536" i="204"/>
  <c r="J536" i="204"/>
  <c r="N535" i="204"/>
  <c r="M535" i="204"/>
  <c r="K535" i="204"/>
  <c r="J535" i="204"/>
  <c r="N534" i="204"/>
  <c r="M534" i="204"/>
  <c r="K534" i="204"/>
  <c r="J534" i="204"/>
  <c r="N533" i="204"/>
  <c r="M533" i="204"/>
  <c r="K533" i="204"/>
  <c r="J533" i="204"/>
  <c r="N532" i="204"/>
  <c r="M532" i="204"/>
  <c r="K532" i="204"/>
  <c r="J532" i="204"/>
  <c r="N531" i="204"/>
  <c r="M531" i="204"/>
  <c r="K531" i="204"/>
  <c r="J531" i="204"/>
  <c r="N530" i="204"/>
  <c r="M530" i="204"/>
  <c r="K530" i="204"/>
  <c r="J530" i="204"/>
  <c r="N529" i="204"/>
  <c r="M529" i="204"/>
  <c r="K529" i="204"/>
  <c r="J529" i="204"/>
  <c r="N528" i="204"/>
  <c r="M528" i="204"/>
  <c r="K528" i="204"/>
  <c r="J528" i="204"/>
  <c r="N527" i="204"/>
  <c r="M527" i="204"/>
  <c r="K527" i="204"/>
  <c r="J527" i="204"/>
  <c r="N526" i="204"/>
  <c r="M526" i="204"/>
  <c r="K526" i="204"/>
  <c r="J526" i="204"/>
  <c r="N525" i="204"/>
  <c r="M525" i="204"/>
  <c r="K525" i="204"/>
  <c r="J525" i="204"/>
  <c r="N524" i="204"/>
  <c r="M524" i="204"/>
  <c r="K524" i="204"/>
  <c r="J524" i="204"/>
  <c r="N523" i="204"/>
  <c r="M523" i="204"/>
  <c r="K523" i="204"/>
  <c r="J523" i="204"/>
  <c r="N522" i="204"/>
  <c r="M522" i="204"/>
  <c r="K522" i="204"/>
  <c r="J522" i="204"/>
  <c r="N521" i="204"/>
  <c r="M521" i="204"/>
  <c r="K521" i="204"/>
  <c r="J521" i="204"/>
  <c r="N520" i="204"/>
  <c r="M520" i="204"/>
  <c r="K520" i="204"/>
  <c r="J520" i="204"/>
  <c r="N519" i="204"/>
  <c r="M519" i="204"/>
  <c r="K519" i="204"/>
  <c r="J519" i="204"/>
  <c r="N518" i="204"/>
  <c r="M518" i="204"/>
  <c r="K518" i="204"/>
  <c r="J518" i="204"/>
  <c r="N517" i="204"/>
  <c r="M517" i="204"/>
  <c r="K517" i="204"/>
  <c r="J517" i="204"/>
  <c r="N516" i="204"/>
  <c r="M516" i="204"/>
  <c r="K516" i="204"/>
  <c r="J516" i="204"/>
  <c r="N515" i="204"/>
  <c r="M515" i="204"/>
  <c r="K515" i="204"/>
  <c r="J515" i="204"/>
  <c r="N514" i="204"/>
  <c r="M514" i="204"/>
  <c r="K514" i="204"/>
  <c r="J514" i="204"/>
  <c r="N513" i="204"/>
  <c r="M513" i="204"/>
  <c r="K513" i="204"/>
  <c r="J513" i="204"/>
  <c r="N512" i="204"/>
  <c r="M512" i="204"/>
  <c r="K512" i="204"/>
  <c r="J512" i="204"/>
  <c r="N511" i="204"/>
  <c r="M511" i="204"/>
  <c r="K511" i="204"/>
  <c r="J511" i="204"/>
  <c r="N510" i="204"/>
  <c r="M510" i="204"/>
  <c r="K510" i="204"/>
  <c r="J510" i="204"/>
  <c r="N509" i="204"/>
  <c r="M509" i="204"/>
  <c r="K509" i="204"/>
  <c r="J509" i="204"/>
  <c r="N508" i="204"/>
  <c r="M508" i="204"/>
  <c r="K508" i="204"/>
  <c r="J508" i="204"/>
  <c r="N507" i="204"/>
  <c r="M507" i="204"/>
  <c r="K507" i="204"/>
  <c r="J507" i="204"/>
  <c r="N506" i="204"/>
  <c r="M506" i="204"/>
  <c r="K506" i="204"/>
  <c r="J506" i="204"/>
  <c r="N505" i="204"/>
  <c r="M505" i="204"/>
  <c r="K505" i="204"/>
  <c r="J505" i="204"/>
  <c r="N504" i="204"/>
  <c r="M504" i="204"/>
  <c r="K504" i="204"/>
  <c r="J504" i="204"/>
  <c r="N503" i="204"/>
  <c r="M503" i="204"/>
  <c r="K503" i="204"/>
  <c r="J503" i="204"/>
  <c r="N502" i="204"/>
  <c r="M502" i="204"/>
  <c r="K502" i="204"/>
  <c r="J502" i="204"/>
  <c r="N501" i="204"/>
  <c r="M501" i="204"/>
  <c r="K501" i="204"/>
  <c r="J501" i="204"/>
  <c r="N500" i="204"/>
  <c r="M500" i="204"/>
  <c r="K500" i="204"/>
  <c r="J500" i="204"/>
  <c r="N499" i="204"/>
  <c r="M499" i="204"/>
  <c r="K499" i="204"/>
  <c r="J499" i="204"/>
  <c r="N498" i="204"/>
  <c r="M498" i="204"/>
  <c r="K498" i="204"/>
  <c r="J498" i="204"/>
  <c r="N497" i="204"/>
  <c r="M497" i="204"/>
  <c r="K497" i="204"/>
  <c r="J497" i="204"/>
  <c r="N496" i="204"/>
  <c r="M496" i="204"/>
  <c r="K496" i="204"/>
  <c r="J496" i="204"/>
  <c r="N495" i="204"/>
  <c r="M495" i="204"/>
  <c r="K495" i="204"/>
  <c r="J495" i="204"/>
  <c r="N494" i="204"/>
  <c r="M494" i="204"/>
  <c r="K494" i="204"/>
  <c r="J494" i="204"/>
  <c r="N493" i="204"/>
  <c r="M493" i="204"/>
  <c r="K493" i="204"/>
  <c r="J493" i="204"/>
  <c r="N492" i="204"/>
  <c r="M492" i="204"/>
  <c r="K492" i="204"/>
  <c r="J492" i="204"/>
  <c r="N491" i="204"/>
  <c r="M491" i="204"/>
  <c r="K491" i="204"/>
  <c r="J491" i="204"/>
  <c r="N490" i="204"/>
  <c r="M490" i="204"/>
  <c r="K490" i="204"/>
  <c r="J490" i="204"/>
  <c r="N489" i="204"/>
  <c r="M489" i="204"/>
  <c r="K489" i="204"/>
  <c r="J489" i="204"/>
  <c r="N488" i="204"/>
  <c r="M488" i="204"/>
  <c r="K488" i="204"/>
  <c r="J488" i="204"/>
  <c r="N487" i="204"/>
  <c r="M487" i="204"/>
  <c r="K487" i="204"/>
  <c r="J487" i="204"/>
  <c r="N486" i="204"/>
  <c r="M486" i="204"/>
  <c r="K486" i="204"/>
  <c r="J486" i="204"/>
  <c r="N485" i="204"/>
  <c r="M485" i="204"/>
  <c r="K485" i="204"/>
  <c r="J485" i="204"/>
  <c r="N484" i="204"/>
  <c r="M484" i="204"/>
  <c r="K484" i="204"/>
  <c r="J484" i="204"/>
  <c r="N483" i="204"/>
  <c r="M483" i="204"/>
  <c r="K483" i="204"/>
  <c r="J483" i="204"/>
  <c r="N482" i="204"/>
  <c r="M482" i="204"/>
  <c r="K482" i="204"/>
  <c r="J482" i="204"/>
  <c r="N481" i="204"/>
  <c r="M481" i="204"/>
  <c r="K481" i="204"/>
  <c r="J481" i="204"/>
  <c r="N480" i="204"/>
  <c r="M480" i="204"/>
  <c r="K480" i="204"/>
  <c r="J480" i="204"/>
  <c r="N479" i="204"/>
  <c r="M479" i="204"/>
  <c r="K479" i="204"/>
  <c r="J479" i="204"/>
  <c r="N478" i="204"/>
  <c r="M478" i="204"/>
  <c r="K478" i="204"/>
  <c r="J478" i="204"/>
  <c r="N477" i="204"/>
  <c r="M477" i="204"/>
  <c r="K477" i="204"/>
  <c r="J477" i="204"/>
  <c r="N476" i="204"/>
  <c r="M476" i="204"/>
  <c r="K476" i="204"/>
  <c r="J476" i="204"/>
  <c r="N475" i="204"/>
  <c r="M475" i="204"/>
  <c r="K475" i="204"/>
  <c r="J475" i="204"/>
  <c r="N474" i="204"/>
  <c r="M474" i="204"/>
  <c r="K474" i="204"/>
  <c r="J474" i="204"/>
  <c r="N473" i="204"/>
  <c r="M473" i="204"/>
  <c r="K473" i="204"/>
  <c r="J473" i="204"/>
  <c r="N472" i="204"/>
  <c r="M472" i="204"/>
  <c r="K472" i="204"/>
  <c r="J472" i="204"/>
  <c r="N471" i="204"/>
  <c r="M471" i="204"/>
  <c r="K471" i="204"/>
  <c r="J471" i="204"/>
  <c r="N470" i="204"/>
  <c r="M470" i="204"/>
  <c r="K470" i="204"/>
  <c r="J470" i="204"/>
  <c r="N469" i="204"/>
  <c r="M469" i="204"/>
  <c r="K469" i="204"/>
  <c r="J469" i="204"/>
  <c r="N468" i="204"/>
  <c r="M468" i="204"/>
  <c r="K468" i="204"/>
  <c r="J468" i="204"/>
  <c r="N467" i="204"/>
  <c r="M467" i="204"/>
  <c r="K467" i="204"/>
  <c r="J467" i="204"/>
  <c r="N466" i="204"/>
  <c r="M466" i="204"/>
  <c r="K466" i="204"/>
  <c r="J466" i="204"/>
  <c r="N465" i="204"/>
  <c r="M465" i="204"/>
  <c r="K465" i="204"/>
  <c r="J465" i="204"/>
  <c r="N464" i="204"/>
  <c r="M464" i="204"/>
  <c r="K464" i="204"/>
  <c r="J464" i="204"/>
  <c r="N463" i="204"/>
  <c r="M463" i="204"/>
  <c r="K463" i="204"/>
  <c r="J463" i="204"/>
  <c r="N462" i="204"/>
  <c r="M462" i="204"/>
  <c r="K462" i="204"/>
  <c r="J462" i="204"/>
  <c r="N461" i="204"/>
  <c r="M461" i="204"/>
  <c r="K461" i="204"/>
  <c r="J461" i="204"/>
  <c r="N460" i="204"/>
  <c r="M460" i="204"/>
  <c r="K460" i="204"/>
  <c r="J460" i="204"/>
  <c r="N459" i="204"/>
  <c r="M459" i="204"/>
  <c r="K459" i="204"/>
  <c r="J459" i="204"/>
  <c r="N458" i="204"/>
  <c r="M458" i="204"/>
  <c r="K458" i="204"/>
  <c r="J458" i="204"/>
  <c r="N457" i="204"/>
  <c r="M457" i="204"/>
  <c r="K457" i="204"/>
  <c r="J457" i="204"/>
  <c r="N456" i="204"/>
  <c r="M456" i="204"/>
  <c r="K456" i="204"/>
  <c r="J456" i="204"/>
  <c r="N455" i="204"/>
  <c r="M455" i="204"/>
  <c r="K455" i="204"/>
  <c r="J455" i="204"/>
  <c r="N454" i="204"/>
  <c r="M454" i="204"/>
  <c r="K454" i="204"/>
  <c r="J454" i="204"/>
  <c r="N453" i="204"/>
  <c r="M453" i="204"/>
  <c r="K453" i="204"/>
  <c r="J453" i="204"/>
  <c r="N452" i="204"/>
  <c r="M452" i="204"/>
  <c r="K452" i="204"/>
  <c r="J452" i="204"/>
  <c r="N451" i="204"/>
  <c r="M451" i="204"/>
  <c r="K451" i="204"/>
  <c r="J451" i="204"/>
  <c r="N450" i="204"/>
  <c r="M450" i="204"/>
  <c r="K450" i="204"/>
  <c r="J450" i="204"/>
  <c r="N449" i="204"/>
  <c r="M449" i="204"/>
  <c r="K449" i="204"/>
  <c r="J449" i="204"/>
  <c r="N448" i="204"/>
  <c r="M448" i="204"/>
  <c r="K448" i="204"/>
  <c r="J448" i="204"/>
  <c r="N447" i="204"/>
  <c r="M447" i="204"/>
  <c r="K447" i="204"/>
  <c r="J447" i="204"/>
  <c r="N446" i="204"/>
  <c r="M446" i="204"/>
  <c r="K446" i="204"/>
  <c r="J446" i="204"/>
  <c r="N445" i="204"/>
  <c r="M445" i="204"/>
  <c r="K445" i="204"/>
  <c r="J445" i="204"/>
  <c r="N444" i="204"/>
  <c r="M444" i="204"/>
  <c r="K444" i="204"/>
  <c r="J444" i="204"/>
  <c r="N443" i="204"/>
  <c r="M443" i="204"/>
  <c r="K443" i="204"/>
  <c r="J443" i="204"/>
  <c r="N442" i="204"/>
  <c r="M442" i="204"/>
  <c r="K442" i="204"/>
  <c r="J442" i="204"/>
  <c r="N441" i="204"/>
  <c r="M441" i="204"/>
  <c r="K441" i="204"/>
  <c r="J441" i="204"/>
  <c r="N440" i="204"/>
  <c r="M440" i="204"/>
  <c r="K440" i="204"/>
  <c r="J440" i="204"/>
  <c r="N439" i="204"/>
  <c r="M439" i="204"/>
  <c r="K439" i="204"/>
  <c r="J439" i="204"/>
  <c r="N438" i="204"/>
  <c r="M438" i="204"/>
  <c r="K438" i="204"/>
  <c r="J438" i="204"/>
  <c r="N437" i="204"/>
  <c r="M437" i="204"/>
  <c r="K437" i="204"/>
  <c r="J437" i="204"/>
  <c r="N436" i="204"/>
  <c r="M436" i="204"/>
  <c r="K436" i="204"/>
  <c r="J436" i="204"/>
  <c r="N435" i="204"/>
  <c r="M435" i="204"/>
  <c r="K435" i="204"/>
  <c r="J435" i="204"/>
  <c r="N434" i="204"/>
  <c r="M434" i="204"/>
  <c r="K434" i="204"/>
  <c r="J434" i="204"/>
  <c r="N433" i="204"/>
  <c r="M433" i="204"/>
  <c r="K433" i="204"/>
  <c r="J433" i="204"/>
  <c r="N432" i="204"/>
  <c r="M432" i="204"/>
  <c r="K432" i="204"/>
  <c r="J432" i="204"/>
  <c r="AH415" i="204"/>
  <c r="AG415" i="204"/>
  <c r="AF415" i="204"/>
  <c r="AE415" i="204"/>
  <c r="AC415" i="204"/>
  <c r="AA415" i="204"/>
  <c r="Z415" i="204"/>
  <c r="Y415" i="204"/>
  <c r="X415" i="204"/>
  <c r="W415" i="204"/>
  <c r="V415" i="204"/>
  <c r="AH310" i="204"/>
  <c r="AG310" i="204"/>
  <c r="AF310" i="204"/>
  <c r="AE310" i="204"/>
  <c r="AC310" i="204"/>
  <c r="AA310" i="204"/>
  <c r="Z310" i="204"/>
  <c r="Y310" i="204"/>
  <c r="X310" i="204"/>
  <c r="W310" i="204"/>
  <c r="V310" i="204"/>
  <c r="AH309" i="204"/>
  <c r="AG309" i="204"/>
  <c r="AF309" i="204"/>
  <c r="AE309" i="204"/>
  <c r="AC309" i="204"/>
  <c r="AA309" i="204"/>
  <c r="Z309" i="204"/>
  <c r="Y309" i="204"/>
  <c r="X309" i="204"/>
  <c r="W309" i="204"/>
  <c r="V309" i="204"/>
  <c r="AH308" i="204"/>
  <c r="AG308" i="204"/>
  <c r="AF308" i="204"/>
  <c r="AE308" i="204"/>
  <c r="AC308" i="204"/>
  <c r="AA308" i="204"/>
  <c r="Z308" i="204"/>
  <c r="Y308" i="204"/>
  <c r="X308" i="204"/>
  <c r="W308" i="204"/>
  <c r="V308" i="204"/>
  <c r="AH307" i="204"/>
  <c r="AG307" i="204"/>
  <c r="AF307" i="204"/>
  <c r="AE307" i="204"/>
  <c r="AC307" i="204"/>
  <c r="AA307" i="204"/>
  <c r="Z307" i="204"/>
  <c r="Y307" i="204"/>
  <c r="X307" i="204"/>
  <c r="W307" i="204"/>
  <c r="V307" i="204"/>
  <c r="AH306" i="204"/>
  <c r="AG306" i="204"/>
  <c r="AF306" i="204"/>
  <c r="AE306" i="204"/>
  <c r="AC306" i="204"/>
  <c r="AA306" i="204"/>
  <c r="Z306" i="204"/>
  <c r="Y306" i="204"/>
  <c r="X306" i="204"/>
  <c r="W306" i="204"/>
  <c r="V306" i="204"/>
  <c r="AH305" i="204"/>
  <c r="AG305" i="204"/>
  <c r="AF305" i="204"/>
  <c r="AE305" i="204"/>
  <c r="AC305" i="204"/>
  <c r="AA305" i="204"/>
  <c r="Z305" i="204"/>
  <c r="Y305" i="204"/>
  <c r="X305" i="204"/>
  <c r="W305" i="204"/>
  <c r="V305" i="204"/>
  <c r="AH304" i="204"/>
  <c r="AG304" i="204"/>
  <c r="AF304" i="204"/>
  <c r="AE304" i="204"/>
  <c r="AC304" i="204"/>
  <c r="AA304" i="204"/>
  <c r="Z304" i="204"/>
  <c r="Y304" i="204"/>
  <c r="X304" i="204"/>
  <c r="W304" i="204"/>
  <c r="V304" i="204"/>
  <c r="AH303" i="204"/>
  <c r="AG303" i="204"/>
  <c r="AF303" i="204"/>
  <c r="AE303" i="204"/>
  <c r="AC303" i="204"/>
  <c r="AA303" i="204"/>
  <c r="Z303" i="204"/>
  <c r="Y303" i="204"/>
  <c r="X303" i="204"/>
  <c r="W303" i="204"/>
  <c r="V303" i="204"/>
  <c r="AH302" i="204"/>
  <c r="AG302" i="204"/>
  <c r="AF302" i="204"/>
  <c r="AE302" i="204"/>
  <c r="AC302" i="204"/>
  <c r="AA302" i="204"/>
  <c r="Z302" i="204"/>
  <c r="Y302" i="204"/>
  <c r="X302" i="204"/>
  <c r="W302" i="204"/>
  <c r="V302" i="204"/>
  <c r="AH301" i="204"/>
  <c r="AG301" i="204"/>
  <c r="AF301" i="204"/>
  <c r="AE301" i="204"/>
  <c r="AC301" i="204"/>
  <c r="AA301" i="204"/>
  <c r="Z301" i="204"/>
  <c r="Y301" i="204"/>
  <c r="X301" i="204"/>
  <c r="W301" i="204"/>
  <c r="V301" i="204"/>
  <c r="AH300" i="204"/>
  <c r="AG300" i="204"/>
  <c r="AF300" i="204"/>
  <c r="AE300" i="204"/>
  <c r="AC300" i="204"/>
  <c r="AA300" i="204"/>
  <c r="Z300" i="204"/>
  <c r="Y300" i="204"/>
  <c r="X300" i="204"/>
  <c r="W300" i="204"/>
  <c r="V300" i="204"/>
  <c r="AH299" i="204"/>
  <c r="AG299" i="204"/>
  <c r="AF299" i="204"/>
  <c r="AE299" i="204"/>
  <c r="AC299" i="204"/>
  <c r="AA299" i="204"/>
  <c r="Z299" i="204"/>
  <c r="Y299" i="204"/>
  <c r="X299" i="204"/>
  <c r="W299" i="204"/>
  <c r="V299" i="204"/>
  <c r="AH298" i="204"/>
  <c r="AG298" i="204"/>
  <c r="AF298" i="204"/>
  <c r="AE298" i="204"/>
  <c r="AC298" i="204"/>
  <c r="AA298" i="204"/>
  <c r="Z298" i="204"/>
  <c r="Y298" i="204"/>
  <c r="X298" i="204"/>
  <c r="W298" i="204"/>
  <c r="V298" i="204"/>
  <c r="AH297" i="204"/>
  <c r="AG297" i="204"/>
  <c r="AF297" i="204"/>
  <c r="AE297" i="204"/>
  <c r="AC297" i="204"/>
  <c r="AA297" i="204"/>
  <c r="Z297" i="204"/>
  <c r="Y297" i="204"/>
  <c r="X297" i="204"/>
  <c r="W297" i="204"/>
  <c r="V297" i="204"/>
  <c r="AH296" i="204"/>
  <c r="AG296" i="204"/>
  <c r="AF296" i="204"/>
  <c r="AE296" i="204"/>
  <c r="AC296" i="204"/>
  <c r="AA296" i="204"/>
  <c r="Z296" i="204"/>
  <c r="Y296" i="204"/>
  <c r="X296" i="204"/>
  <c r="W296" i="204"/>
  <c r="V296" i="204"/>
  <c r="AH295" i="204"/>
  <c r="AG295" i="204"/>
  <c r="AF295" i="204"/>
  <c r="AE295" i="204"/>
  <c r="AC295" i="204"/>
  <c r="AA295" i="204"/>
  <c r="Z295" i="204"/>
  <c r="Y295" i="204"/>
  <c r="X295" i="204"/>
  <c r="W295" i="204"/>
  <c r="V295" i="204"/>
  <c r="AH294" i="204"/>
  <c r="AG294" i="204"/>
  <c r="AF294" i="204"/>
  <c r="AE294" i="204"/>
  <c r="AC294" i="204"/>
  <c r="AA294" i="204"/>
  <c r="Z294" i="204"/>
  <c r="Y294" i="204"/>
  <c r="X294" i="204"/>
  <c r="W294" i="204"/>
  <c r="V294" i="204"/>
  <c r="AH293" i="204"/>
  <c r="AG293" i="204"/>
  <c r="AF293" i="204"/>
  <c r="AE293" i="204"/>
  <c r="AC293" i="204"/>
  <c r="AA293" i="204"/>
  <c r="Z293" i="204"/>
  <c r="Y293" i="204"/>
  <c r="X293" i="204"/>
  <c r="W293" i="204"/>
  <c r="V293" i="204"/>
  <c r="AH292" i="204"/>
  <c r="AG292" i="204"/>
  <c r="AF292" i="204"/>
  <c r="AE292" i="204"/>
  <c r="AC292" i="204"/>
  <c r="AA292" i="204"/>
  <c r="Z292" i="204"/>
  <c r="Y292" i="204"/>
  <c r="X292" i="204"/>
  <c r="W292" i="204"/>
  <c r="V292" i="204"/>
  <c r="AH291" i="204"/>
  <c r="AG291" i="204"/>
  <c r="AF291" i="204"/>
  <c r="AE291" i="204"/>
  <c r="AC291" i="204"/>
  <c r="AA291" i="204"/>
  <c r="Z291" i="204"/>
  <c r="Y291" i="204"/>
  <c r="X291" i="204"/>
  <c r="W291" i="204"/>
  <c r="V291" i="204"/>
  <c r="AH290" i="204"/>
  <c r="AG290" i="204"/>
  <c r="AF290" i="204"/>
  <c r="AE290" i="204"/>
  <c r="AC290" i="204"/>
  <c r="AA290" i="204"/>
  <c r="Z290" i="204"/>
  <c r="Y290" i="204"/>
  <c r="X290" i="204"/>
  <c r="W290" i="204"/>
  <c r="V290" i="204"/>
  <c r="AH289" i="204"/>
  <c r="AG289" i="204"/>
  <c r="AF289" i="204"/>
  <c r="AE289" i="204"/>
  <c r="AC289" i="204"/>
  <c r="AA289" i="204"/>
  <c r="Z289" i="204"/>
  <c r="Y289" i="204"/>
  <c r="X289" i="204"/>
  <c r="W289" i="204"/>
  <c r="V289" i="204"/>
  <c r="AH288" i="204"/>
  <c r="AG288" i="204"/>
  <c r="AF288" i="204"/>
  <c r="AE288" i="204"/>
  <c r="AC288" i="204"/>
  <c r="AA288" i="204"/>
  <c r="Z288" i="204"/>
  <c r="Y288" i="204"/>
  <c r="X288" i="204"/>
  <c r="W288" i="204"/>
  <c r="V288" i="204"/>
  <c r="AH287" i="204"/>
  <c r="AG287" i="204"/>
  <c r="AF287" i="204"/>
  <c r="AE287" i="204"/>
  <c r="AC287" i="204"/>
  <c r="AA287" i="204"/>
  <c r="Z287" i="204"/>
  <c r="Y287" i="204"/>
  <c r="X287" i="204"/>
  <c r="W287" i="204"/>
  <c r="V287" i="204"/>
  <c r="AH286" i="204"/>
  <c r="AG286" i="204"/>
  <c r="AF286" i="204"/>
  <c r="AE286" i="204"/>
  <c r="AC286" i="204"/>
  <c r="AA286" i="204"/>
  <c r="Z286" i="204"/>
  <c r="Y286" i="204"/>
  <c r="X286" i="204"/>
  <c r="W286" i="204"/>
  <c r="V286" i="204"/>
  <c r="AH285" i="204"/>
  <c r="AG285" i="204"/>
  <c r="AF285" i="204"/>
  <c r="AE285" i="204"/>
  <c r="AC285" i="204"/>
  <c r="AA285" i="204"/>
  <c r="Z285" i="204"/>
  <c r="Y285" i="204"/>
  <c r="X285" i="204"/>
  <c r="W285" i="204"/>
  <c r="V285" i="204"/>
  <c r="AH284" i="204"/>
  <c r="AG284" i="204"/>
  <c r="AF284" i="204"/>
  <c r="AE284" i="204"/>
  <c r="AC284" i="204"/>
  <c r="AA284" i="204"/>
  <c r="Z284" i="204"/>
  <c r="Y284" i="204"/>
  <c r="X284" i="204"/>
  <c r="W284" i="204"/>
  <c r="V284" i="204"/>
  <c r="AH283" i="204"/>
  <c r="AG283" i="204"/>
  <c r="AF283" i="204"/>
  <c r="AE283" i="204"/>
  <c r="AC283" i="204"/>
  <c r="AA283" i="204"/>
  <c r="Z283" i="204"/>
  <c r="Y283" i="204"/>
  <c r="X283" i="204"/>
  <c r="W283" i="204"/>
  <c r="V283" i="204"/>
  <c r="AH282" i="204"/>
  <c r="AG282" i="204"/>
  <c r="AF282" i="204"/>
  <c r="AE282" i="204"/>
  <c r="AC282" i="204"/>
  <c r="AA282" i="204"/>
  <c r="Z282" i="204"/>
  <c r="Y282" i="204"/>
  <c r="X282" i="204"/>
  <c r="W282" i="204"/>
  <c r="V282" i="204"/>
  <c r="AH281" i="204"/>
  <c r="AG281" i="204"/>
  <c r="AF281" i="204"/>
  <c r="AE281" i="204"/>
  <c r="AC281" i="204"/>
  <c r="AA281" i="204"/>
  <c r="Z281" i="204"/>
  <c r="Y281" i="204"/>
  <c r="X281" i="204"/>
  <c r="W281" i="204"/>
  <c r="V281" i="204"/>
  <c r="AH280" i="204"/>
  <c r="AG280" i="204"/>
  <c r="AF280" i="204"/>
  <c r="AE280" i="204"/>
  <c r="AC280" i="204"/>
  <c r="AA280" i="204"/>
  <c r="Z280" i="204"/>
  <c r="Y280" i="204"/>
  <c r="X280" i="204"/>
  <c r="W280" i="204"/>
  <c r="V280" i="204"/>
  <c r="AH279" i="204"/>
  <c r="AG279" i="204"/>
  <c r="AF279" i="204"/>
  <c r="AE279" i="204"/>
  <c r="AC279" i="204"/>
  <c r="AA279" i="204"/>
  <c r="Z279" i="204"/>
  <c r="Y279" i="204"/>
  <c r="X279" i="204"/>
  <c r="W279" i="204"/>
  <c r="V279" i="204"/>
  <c r="AH278" i="204"/>
  <c r="AG278" i="204"/>
  <c r="AF278" i="204"/>
  <c r="AE278" i="204"/>
  <c r="AC278" i="204"/>
  <c r="AA278" i="204"/>
  <c r="Z278" i="204"/>
  <c r="Y278" i="204"/>
  <c r="X278" i="204"/>
  <c r="W278" i="204"/>
  <c r="V278" i="204"/>
  <c r="AH277" i="204"/>
  <c r="AG277" i="204"/>
  <c r="AF277" i="204"/>
  <c r="AE277" i="204"/>
  <c r="AC277" i="204"/>
  <c r="AA277" i="204"/>
  <c r="Z277" i="204"/>
  <c r="Y277" i="204"/>
  <c r="X277" i="204"/>
  <c r="W277" i="204"/>
  <c r="V277" i="204"/>
  <c r="AH276" i="204"/>
  <c r="AG276" i="204"/>
  <c r="AF276" i="204"/>
  <c r="AE276" i="204"/>
  <c r="AC276" i="204"/>
  <c r="AA276" i="204"/>
  <c r="Z276" i="204"/>
  <c r="Y276" i="204"/>
  <c r="X276" i="204"/>
  <c r="W276" i="204"/>
  <c r="V276" i="204"/>
  <c r="AH275" i="204"/>
  <c r="AG275" i="204"/>
  <c r="AF275" i="204"/>
  <c r="AE275" i="204"/>
  <c r="AC275" i="204"/>
  <c r="AA275" i="204"/>
  <c r="Z275" i="204"/>
  <c r="Y275" i="204"/>
  <c r="X275" i="204"/>
  <c r="W275" i="204"/>
  <c r="V275" i="204"/>
  <c r="AH274" i="204"/>
  <c r="AG274" i="204"/>
  <c r="AF274" i="204"/>
  <c r="AE274" i="204"/>
  <c r="AC274" i="204"/>
  <c r="AA274" i="204"/>
  <c r="Z274" i="204"/>
  <c r="Y274" i="204"/>
  <c r="X274" i="204"/>
  <c r="W274" i="204"/>
  <c r="V274" i="204"/>
  <c r="AH273" i="204"/>
  <c r="AG273" i="204"/>
  <c r="AF273" i="204"/>
  <c r="AE273" i="204"/>
  <c r="AC273" i="204"/>
  <c r="AA273" i="204"/>
  <c r="Z273" i="204"/>
  <c r="Y273" i="204"/>
  <c r="X273" i="204"/>
  <c r="W273" i="204"/>
  <c r="V273" i="204"/>
  <c r="AH272" i="204"/>
  <c r="AG272" i="204"/>
  <c r="AF272" i="204"/>
  <c r="AE272" i="204"/>
  <c r="AC272" i="204"/>
  <c r="AA272" i="204"/>
  <c r="Z272" i="204"/>
  <c r="Y272" i="204"/>
  <c r="X272" i="204"/>
  <c r="W272" i="204"/>
  <c r="V272" i="204"/>
  <c r="AH271" i="204"/>
  <c r="AG271" i="204"/>
  <c r="AF271" i="204"/>
  <c r="AE271" i="204"/>
  <c r="AC271" i="204"/>
  <c r="AA271" i="204"/>
  <c r="Z271" i="204"/>
  <c r="Y271" i="204"/>
  <c r="X271" i="204"/>
  <c r="W271" i="204"/>
  <c r="V271" i="204"/>
  <c r="AH270" i="204"/>
  <c r="AG270" i="204"/>
  <c r="AF270" i="204"/>
  <c r="AE270" i="204"/>
  <c r="AC270" i="204"/>
  <c r="AA270" i="204"/>
  <c r="Z270" i="204"/>
  <c r="Y270" i="204"/>
  <c r="X270" i="204"/>
  <c r="W270" i="204"/>
  <c r="V270" i="204"/>
  <c r="AH269" i="204"/>
  <c r="AG269" i="204"/>
  <c r="AF269" i="204"/>
  <c r="AE269" i="204"/>
  <c r="AC269" i="204"/>
  <c r="AA269" i="204"/>
  <c r="Z269" i="204"/>
  <c r="Y269" i="204"/>
  <c r="X269" i="204"/>
  <c r="W269" i="204"/>
  <c r="V269" i="204"/>
  <c r="AH268" i="204"/>
  <c r="AG268" i="204"/>
  <c r="AF268" i="204"/>
  <c r="AE268" i="204"/>
  <c r="AC268" i="204"/>
  <c r="AA268" i="204"/>
  <c r="Z268" i="204"/>
  <c r="Y268" i="204"/>
  <c r="X268" i="204"/>
  <c r="W268" i="204"/>
  <c r="V268" i="204"/>
  <c r="AH267" i="204"/>
  <c r="AG267" i="204"/>
  <c r="AF267" i="204"/>
  <c r="AE267" i="204"/>
  <c r="AC267" i="204"/>
  <c r="AA267" i="204"/>
  <c r="Z267" i="204"/>
  <c r="Y267" i="204"/>
  <c r="X267" i="204"/>
  <c r="W267" i="204"/>
  <c r="V267" i="204"/>
  <c r="AH266" i="204"/>
  <c r="AG266" i="204"/>
  <c r="AF266" i="204"/>
  <c r="AE266" i="204"/>
  <c r="AC266" i="204"/>
  <c r="AA266" i="204"/>
  <c r="Z266" i="204"/>
  <c r="Y266" i="204"/>
  <c r="X266" i="204"/>
  <c r="W266" i="204"/>
  <c r="V266" i="204"/>
  <c r="AH265" i="204"/>
  <c r="AG265" i="204"/>
  <c r="AF265" i="204"/>
  <c r="AE265" i="204"/>
  <c r="AC265" i="204"/>
  <c r="AA265" i="204"/>
  <c r="Z265" i="204"/>
  <c r="Y265" i="204"/>
  <c r="X265" i="204"/>
  <c r="W265" i="204"/>
  <c r="V265" i="204"/>
  <c r="AH264" i="204"/>
  <c r="AG264" i="204"/>
  <c r="AF264" i="204"/>
  <c r="AE264" i="204"/>
  <c r="AC264" i="204"/>
  <c r="AA264" i="204"/>
  <c r="Z264" i="204"/>
  <c r="Y264" i="204"/>
  <c r="X264" i="204"/>
  <c r="W264" i="204"/>
  <c r="V264" i="204"/>
  <c r="AH263" i="204"/>
  <c r="AG263" i="204"/>
  <c r="AF263" i="204"/>
  <c r="AE263" i="204"/>
  <c r="AC263" i="204"/>
  <c r="AA263" i="204"/>
  <c r="Z263" i="204"/>
  <c r="Y263" i="204"/>
  <c r="X263" i="204"/>
  <c r="W263" i="204"/>
  <c r="V263" i="204"/>
  <c r="AH262" i="204"/>
  <c r="AG262" i="204"/>
  <c r="AF262" i="204"/>
  <c r="AE262" i="204"/>
  <c r="AC262" i="204"/>
  <c r="AA262" i="204"/>
  <c r="Z262" i="204"/>
  <c r="Y262" i="204"/>
  <c r="X262" i="204"/>
  <c r="W262" i="204"/>
  <c r="V262" i="204"/>
  <c r="AH261" i="204"/>
  <c r="AG261" i="204"/>
  <c r="AF261" i="204"/>
  <c r="AE261" i="204"/>
  <c r="AC261" i="204"/>
  <c r="AA261" i="204"/>
  <c r="Z261" i="204"/>
  <c r="Y261" i="204"/>
  <c r="X261" i="204"/>
  <c r="W261" i="204"/>
  <c r="V261" i="204"/>
  <c r="AH260" i="204"/>
  <c r="AG260" i="204"/>
  <c r="AF260" i="204"/>
  <c r="AE260" i="204"/>
  <c r="AC260" i="204"/>
  <c r="AA260" i="204"/>
  <c r="Z260" i="204"/>
  <c r="Y260" i="204"/>
  <c r="X260" i="204"/>
  <c r="W260" i="204"/>
  <c r="V260" i="204"/>
  <c r="AH259" i="204"/>
  <c r="AG259" i="204"/>
  <c r="AF259" i="204"/>
  <c r="AE259" i="204"/>
  <c r="AC259" i="204"/>
  <c r="AA259" i="204"/>
  <c r="Z259" i="204"/>
  <c r="Y259" i="204"/>
  <c r="X259" i="204"/>
  <c r="W259" i="204"/>
  <c r="V259" i="204"/>
  <c r="AH258" i="204"/>
  <c r="AG258" i="204"/>
  <c r="AF258" i="204"/>
  <c r="AE258" i="204"/>
  <c r="AC258" i="204"/>
  <c r="AA258" i="204"/>
  <c r="Z258" i="204"/>
  <c r="Y258" i="204"/>
  <c r="X258" i="204"/>
  <c r="W258" i="204"/>
  <c r="V258" i="204"/>
  <c r="AH257" i="204"/>
  <c r="AG257" i="204"/>
  <c r="AF257" i="204"/>
  <c r="AE257" i="204"/>
  <c r="AC257" i="204"/>
  <c r="AA257" i="204"/>
  <c r="Z257" i="204"/>
  <c r="Y257" i="204"/>
  <c r="X257" i="204"/>
  <c r="W257" i="204"/>
  <c r="V257" i="204"/>
  <c r="AH256" i="204"/>
  <c r="AG256" i="204"/>
  <c r="AF256" i="204"/>
  <c r="AE256" i="204"/>
  <c r="AC256" i="204"/>
  <c r="AA256" i="204"/>
  <c r="Z256" i="204"/>
  <c r="Y256" i="204"/>
  <c r="X256" i="204"/>
  <c r="W256" i="204"/>
  <c r="V256" i="204"/>
  <c r="AH255" i="204"/>
  <c r="AG255" i="204"/>
  <c r="AF255" i="204"/>
  <c r="AE255" i="204"/>
  <c r="AC255" i="204"/>
  <c r="AA255" i="204"/>
  <c r="Z255" i="204"/>
  <c r="Y255" i="204"/>
  <c r="X255" i="204"/>
  <c r="W255" i="204"/>
  <c r="V255" i="204"/>
  <c r="AH254" i="204"/>
  <c r="AG254" i="204"/>
  <c r="AF254" i="204"/>
  <c r="AE254" i="204"/>
  <c r="AC254" i="204"/>
  <c r="AA254" i="204"/>
  <c r="Z254" i="204"/>
  <c r="Y254" i="204"/>
  <c r="X254" i="204"/>
  <c r="W254" i="204"/>
  <c r="V254" i="204"/>
  <c r="AH253" i="204"/>
  <c r="AG253" i="204"/>
  <c r="AF253" i="204"/>
  <c r="AE253" i="204"/>
  <c r="AC253" i="204"/>
  <c r="AA253" i="204"/>
  <c r="Z253" i="204"/>
  <c r="Y253" i="204"/>
  <c r="X253" i="204"/>
  <c r="W253" i="204"/>
  <c r="V253" i="204"/>
  <c r="AH252" i="204"/>
  <c r="AG252" i="204"/>
  <c r="AF252" i="204"/>
  <c r="AE252" i="204"/>
  <c r="AC252" i="204"/>
  <c r="AA252" i="204"/>
  <c r="Z252" i="204"/>
  <c r="Y252" i="204"/>
  <c r="X252" i="204"/>
  <c r="W252" i="204"/>
  <c r="V252" i="204"/>
  <c r="AH251" i="204"/>
  <c r="AG251" i="204"/>
  <c r="AF251" i="204"/>
  <c r="AE251" i="204"/>
  <c r="AC251" i="204"/>
  <c r="AA251" i="204"/>
  <c r="Z251" i="204"/>
  <c r="Y251" i="204"/>
  <c r="X251" i="204"/>
  <c r="W251" i="204"/>
  <c r="V251" i="204"/>
  <c r="AH250" i="204"/>
  <c r="AG250" i="204"/>
  <c r="AF250" i="204"/>
  <c r="AE250" i="204"/>
  <c r="AC250" i="204"/>
  <c r="AA250" i="204"/>
  <c r="Z250" i="204"/>
  <c r="Y250" i="204"/>
  <c r="X250" i="204"/>
  <c r="W250" i="204"/>
  <c r="V250" i="204"/>
  <c r="AH249" i="204"/>
  <c r="AG249" i="204"/>
  <c r="AF249" i="204"/>
  <c r="AE249" i="204"/>
  <c r="AC249" i="204"/>
  <c r="AA249" i="204"/>
  <c r="Z249" i="204"/>
  <c r="Y249" i="204"/>
  <c r="X249" i="204"/>
  <c r="W249" i="204"/>
  <c r="V249" i="204"/>
  <c r="AH248" i="204"/>
  <c r="AG248" i="204"/>
  <c r="AF248" i="204"/>
  <c r="AE248" i="204"/>
  <c r="AC248" i="204"/>
  <c r="AA248" i="204"/>
  <c r="Z248" i="204"/>
  <c r="Y248" i="204"/>
  <c r="X248" i="204"/>
  <c r="W248" i="204"/>
  <c r="V248" i="204"/>
  <c r="AH247" i="204"/>
  <c r="AG247" i="204"/>
  <c r="AF247" i="204"/>
  <c r="AE247" i="204"/>
  <c r="AC247" i="204"/>
  <c r="AA247" i="204"/>
  <c r="Z247" i="204"/>
  <c r="Y247" i="204"/>
  <c r="X247" i="204"/>
  <c r="W247" i="204"/>
  <c r="V247" i="204"/>
  <c r="AH246" i="204"/>
  <c r="AG246" i="204"/>
  <c r="AF246" i="204"/>
  <c r="AE246" i="204"/>
  <c r="AC246" i="204"/>
  <c r="AA246" i="204"/>
  <c r="Z246" i="204"/>
  <c r="Y246" i="204"/>
  <c r="X246" i="204"/>
  <c r="W246" i="204"/>
  <c r="V246" i="204"/>
  <c r="AH245" i="204"/>
  <c r="AG245" i="204"/>
  <c r="AF245" i="204"/>
  <c r="AE245" i="204"/>
  <c r="AC245" i="204"/>
  <c r="AA245" i="204"/>
  <c r="Z245" i="204"/>
  <c r="Y245" i="204"/>
  <c r="X245" i="204"/>
  <c r="W245" i="204"/>
  <c r="V245" i="204"/>
  <c r="AH244" i="204"/>
  <c r="AG244" i="204"/>
  <c r="AF244" i="204"/>
  <c r="AE244" i="204"/>
  <c r="AC244" i="204"/>
  <c r="AA244" i="204"/>
  <c r="Z244" i="204"/>
  <c r="Y244" i="204"/>
  <c r="X244" i="204"/>
  <c r="W244" i="204"/>
  <c r="V244" i="204"/>
  <c r="AH243" i="204"/>
  <c r="AG243" i="204"/>
  <c r="AF243" i="204"/>
  <c r="AE243" i="204"/>
  <c r="AC243" i="204"/>
  <c r="AA243" i="204"/>
  <c r="Z243" i="204"/>
  <c r="Y243" i="204"/>
  <c r="X243" i="204"/>
  <c r="W243" i="204"/>
  <c r="V243" i="204"/>
  <c r="AH242" i="204"/>
  <c r="AG242" i="204"/>
  <c r="AF242" i="204"/>
  <c r="AE242" i="204"/>
  <c r="AC242" i="204"/>
  <c r="AA242" i="204"/>
  <c r="Z242" i="204"/>
  <c r="Y242" i="204"/>
  <c r="X242" i="204"/>
  <c r="W242" i="204"/>
  <c r="V242" i="204"/>
  <c r="AH241" i="204"/>
  <c r="AG241" i="204"/>
  <c r="AF241" i="204"/>
  <c r="AE241" i="204"/>
  <c r="AC241" i="204"/>
  <c r="AA241" i="204"/>
  <c r="Z241" i="204"/>
  <c r="Y241" i="204"/>
  <c r="X241" i="204"/>
  <c r="W241" i="204"/>
  <c r="V241" i="204"/>
  <c r="AH240" i="204"/>
  <c r="AG240" i="204"/>
  <c r="AF240" i="204"/>
  <c r="AE240" i="204"/>
  <c r="AC240" i="204"/>
  <c r="AA240" i="204"/>
  <c r="Z240" i="204"/>
  <c r="Y240" i="204"/>
  <c r="X240" i="204"/>
  <c r="W240" i="204"/>
  <c r="V240" i="204"/>
  <c r="AH239" i="204"/>
  <c r="AG239" i="204"/>
  <c r="AF239" i="204"/>
  <c r="AE239" i="204"/>
  <c r="AC239" i="204"/>
  <c r="AA239" i="204"/>
  <c r="Z239" i="204"/>
  <c r="Y239" i="204"/>
  <c r="X239" i="204"/>
  <c r="W239" i="204"/>
  <c r="V239" i="204"/>
  <c r="AH238" i="204"/>
  <c r="AG238" i="204"/>
  <c r="AF238" i="204"/>
  <c r="AE238" i="204"/>
  <c r="AC238" i="204"/>
  <c r="AA238" i="204"/>
  <c r="Z238" i="204"/>
  <c r="Y238" i="204"/>
  <c r="X238" i="204"/>
  <c r="W238" i="204"/>
  <c r="V238" i="204"/>
  <c r="AH237" i="204"/>
  <c r="AG237" i="204"/>
  <c r="AF237" i="204"/>
  <c r="AE237" i="204"/>
  <c r="AC237" i="204"/>
  <c r="AA237" i="204"/>
  <c r="Z237" i="204"/>
  <c r="Y237" i="204"/>
  <c r="X237" i="204"/>
  <c r="W237" i="204"/>
  <c r="V237" i="204"/>
  <c r="AH236" i="204"/>
  <c r="AG236" i="204"/>
  <c r="AF236" i="204"/>
  <c r="AE236" i="204"/>
  <c r="AC236" i="204"/>
  <c r="AA236" i="204"/>
  <c r="Z236" i="204"/>
  <c r="Y236" i="204"/>
  <c r="X236" i="204"/>
  <c r="W236" i="204"/>
  <c r="V236" i="204"/>
  <c r="AH235" i="204"/>
  <c r="AG235" i="204"/>
  <c r="AF235" i="204"/>
  <c r="AE235" i="204"/>
  <c r="AC235" i="204"/>
  <c r="AA235" i="204"/>
  <c r="Z235" i="204"/>
  <c r="Y235" i="204"/>
  <c r="X235" i="204"/>
  <c r="W235" i="204"/>
  <c r="V235" i="204"/>
  <c r="AH234" i="204"/>
  <c r="AG234" i="204"/>
  <c r="AF234" i="204"/>
  <c r="AE234" i="204"/>
  <c r="AC234" i="204"/>
  <c r="AA234" i="204"/>
  <c r="Z234" i="204"/>
  <c r="Y234" i="204"/>
  <c r="X234" i="204"/>
  <c r="W234" i="204"/>
  <c r="V234" i="204"/>
  <c r="AH233" i="204"/>
  <c r="AG233" i="204"/>
  <c r="AF233" i="204"/>
  <c r="AE233" i="204"/>
  <c r="AC233" i="204"/>
  <c r="AA233" i="204"/>
  <c r="Z233" i="204"/>
  <c r="Y233" i="204"/>
  <c r="X233" i="204"/>
  <c r="W233" i="204"/>
  <c r="V233" i="204"/>
  <c r="AH232" i="204"/>
  <c r="AG232" i="204"/>
  <c r="AF232" i="204"/>
  <c r="AE232" i="204"/>
  <c r="AC232" i="204"/>
  <c r="AA232" i="204"/>
  <c r="Z232" i="204"/>
  <c r="Y232" i="204"/>
  <c r="X232" i="204"/>
  <c r="W232" i="204"/>
  <c r="V232" i="204"/>
  <c r="AH231" i="204"/>
  <c r="AG231" i="204"/>
  <c r="AF231" i="204"/>
  <c r="AE231" i="204"/>
  <c r="AC231" i="204"/>
  <c r="AA231" i="204"/>
  <c r="Z231" i="204"/>
  <c r="Y231" i="204"/>
  <c r="X231" i="204"/>
  <c r="W231" i="204"/>
  <c r="V231" i="204"/>
  <c r="AH230" i="204"/>
  <c r="AG230" i="204"/>
  <c r="AF230" i="204"/>
  <c r="AE230" i="204"/>
  <c r="AC230" i="204"/>
  <c r="AA230" i="204"/>
  <c r="Z230" i="204"/>
  <c r="Y230" i="204"/>
  <c r="X230" i="204"/>
  <c r="W230" i="204"/>
  <c r="V230" i="204"/>
  <c r="AH229" i="204"/>
  <c r="AG229" i="204"/>
  <c r="AF229" i="204"/>
  <c r="AE229" i="204"/>
  <c r="AC229" i="204"/>
  <c r="AA229" i="204"/>
  <c r="Z229" i="204"/>
  <c r="Y229" i="204"/>
  <c r="X229" i="204"/>
  <c r="W229" i="204"/>
  <c r="V229" i="204"/>
  <c r="AH228" i="204"/>
  <c r="AG228" i="204"/>
  <c r="AF228" i="204"/>
  <c r="AE228" i="204"/>
  <c r="AC228" i="204"/>
  <c r="AA228" i="204"/>
  <c r="Z228" i="204"/>
  <c r="Y228" i="204"/>
  <c r="X228" i="204"/>
  <c r="W228" i="204"/>
  <c r="V228" i="204"/>
  <c r="AH227" i="204"/>
  <c r="AG227" i="204"/>
  <c r="AF227" i="204"/>
  <c r="AE227" i="204"/>
  <c r="AC227" i="204"/>
  <c r="AA227" i="204"/>
  <c r="Z227" i="204"/>
  <c r="Y227" i="204"/>
  <c r="X227" i="204"/>
  <c r="W227" i="204"/>
  <c r="V227" i="204"/>
  <c r="AH226" i="204"/>
  <c r="AG226" i="204"/>
  <c r="AF226" i="204"/>
  <c r="AE226" i="204"/>
  <c r="AC226" i="204"/>
  <c r="AA226" i="204"/>
  <c r="Z226" i="204"/>
  <c r="Y226" i="204"/>
  <c r="X226" i="204"/>
  <c r="W226" i="204"/>
  <c r="V226" i="204"/>
  <c r="AH225" i="204"/>
  <c r="AG225" i="204"/>
  <c r="AF225" i="204"/>
  <c r="AE225" i="204"/>
  <c r="AC225" i="204"/>
  <c r="AA225" i="204"/>
  <c r="Z225" i="204"/>
  <c r="Y225" i="204"/>
  <c r="X225" i="204"/>
  <c r="W225" i="204"/>
  <c r="V225" i="204"/>
  <c r="AH224" i="204"/>
  <c r="AG224" i="204"/>
  <c r="AF224" i="204"/>
  <c r="AE224" i="204"/>
  <c r="AC224" i="204"/>
  <c r="AA224" i="204"/>
  <c r="Z224" i="204"/>
  <c r="Y224" i="204"/>
  <c r="X224" i="204"/>
  <c r="W224" i="204"/>
  <c r="V224" i="204"/>
  <c r="AH223" i="204"/>
  <c r="AG223" i="204"/>
  <c r="AF223" i="204"/>
  <c r="AE223" i="204"/>
  <c r="AC223" i="204"/>
  <c r="AA223" i="204"/>
  <c r="Z223" i="204"/>
  <c r="Y223" i="204"/>
  <c r="X223" i="204"/>
  <c r="W223" i="204"/>
  <c r="V223" i="204"/>
  <c r="AH222" i="204"/>
  <c r="AG222" i="204"/>
  <c r="AF222" i="204"/>
  <c r="AE222" i="204"/>
  <c r="AC222" i="204"/>
  <c r="AA222" i="204"/>
  <c r="Z222" i="204"/>
  <c r="Y222" i="204"/>
  <c r="X222" i="204"/>
  <c r="W222" i="204"/>
  <c r="V222" i="204"/>
  <c r="AH221" i="204"/>
  <c r="AG221" i="204"/>
  <c r="AF221" i="204"/>
  <c r="AE221" i="204"/>
  <c r="AC221" i="204"/>
  <c r="AA221" i="204"/>
  <c r="Z221" i="204"/>
  <c r="Y221" i="204"/>
  <c r="X221" i="204"/>
  <c r="W221" i="204"/>
  <c r="V221" i="204"/>
  <c r="AH220" i="204"/>
  <c r="AG220" i="204"/>
  <c r="AF220" i="204"/>
  <c r="AE220" i="204"/>
  <c r="AC220" i="204"/>
  <c r="AA220" i="204"/>
  <c r="Z220" i="204"/>
  <c r="Y220" i="204"/>
  <c r="X220" i="204"/>
  <c r="W220" i="204"/>
  <c r="V220" i="204"/>
  <c r="AH219" i="204"/>
  <c r="AG219" i="204"/>
  <c r="AF219" i="204"/>
  <c r="AE219" i="204"/>
  <c r="AC219" i="204"/>
  <c r="AA219" i="204"/>
  <c r="Z219" i="204"/>
  <c r="Y219" i="204"/>
  <c r="X219" i="204"/>
  <c r="W219" i="204"/>
  <c r="V219" i="204"/>
  <c r="AH218" i="204"/>
  <c r="AG218" i="204"/>
  <c r="AF218" i="204"/>
  <c r="AE218" i="204"/>
  <c r="AC218" i="204"/>
  <c r="AA218" i="204"/>
  <c r="Z218" i="204"/>
  <c r="Y218" i="204"/>
  <c r="X218" i="204"/>
  <c r="W218" i="204"/>
  <c r="V218" i="204"/>
  <c r="AH217" i="204"/>
  <c r="AG217" i="204"/>
  <c r="AF217" i="204"/>
  <c r="AE217" i="204"/>
  <c r="AC217" i="204"/>
  <c r="AA217" i="204"/>
  <c r="Z217" i="204"/>
  <c r="Y217" i="204"/>
  <c r="X217" i="204"/>
  <c r="W217" i="204"/>
  <c r="V217" i="204"/>
  <c r="AH216" i="204"/>
  <c r="AG216" i="204"/>
  <c r="AF216" i="204"/>
  <c r="AE216" i="204"/>
  <c r="AC216" i="204"/>
  <c r="AA216" i="204"/>
  <c r="Z216" i="204"/>
  <c r="Y216" i="204"/>
  <c r="X216" i="204"/>
  <c r="W216" i="204"/>
  <c r="V216" i="204"/>
  <c r="AH215" i="204"/>
  <c r="AG215" i="204"/>
  <c r="AF215" i="204"/>
  <c r="AE215" i="204"/>
  <c r="AC215" i="204"/>
  <c r="AA215" i="204"/>
  <c r="Z215" i="204"/>
  <c r="Y215" i="204"/>
  <c r="X215" i="204"/>
  <c r="W215" i="204"/>
  <c r="V215" i="204"/>
  <c r="AH214" i="204"/>
  <c r="AG214" i="204"/>
  <c r="AF214" i="204"/>
  <c r="AE214" i="204"/>
  <c r="AC214" i="204"/>
  <c r="AA214" i="204"/>
  <c r="Z214" i="204"/>
  <c r="Y214" i="204"/>
  <c r="X214" i="204"/>
  <c r="W214" i="204"/>
  <c r="V214" i="204"/>
  <c r="AH213" i="204"/>
  <c r="AG213" i="204"/>
  <c r="AF213" i="204"/>
  <c r="AE213" i="204"/>
  <c r="AC213" i="204"/>
  <c r="AA213" i="204"/>
  <c r="Z213" i="204"/>
  <c r="Y213" i="204"/>
  <c r="X213" i="204"/>
  <c r="W213" i="204"/>
  <c r="V213" i="204"/>
  <c r="AH212" i="204"/>
  <c r="AG212" i="204"/>
  <c r="AF212" i="204"/>
  <c r="AE212" i="204"/>
  <c r="AC212" i="204"/>
  <c r="AA212" i="204"/>
  <c r="Z212" i="204"/>
  <c r="Y212" i="204"/>
  <c r="X212" i="204"/>
  <c r="W212" i="204"/>
  <c r="V212" i="204"/>
  <c r="AH211" i="204"/>
  <c r="AG211" i="204"/>
  <c r="AF211" i="204"/>
  <c r="AE211" i="204"/>
  <c r="AC211" i="204"/>
  <c r="AA211" i="204"/>
  <c r="Z211" i="204"/>
  <c r="Y211" i="204"/>
  <c r="X211" i="204"/>
  <c r="W211" i="204"/>
  <c r="V211" i="204"/>
  <c r="AH210" i="204"/>
  <c r="AG210" i="204"/>
  <c r="AF210" i="204"/>
  <c r="AE210" i="204"/>
  <c r="AC210" i="204"/>
  <c r="AA210" i="204"/>
  <c r="Z210" i="204"/>
  <c r="Y210" i="204"/>
  <c r="X210" i="204"/>
  <c r="W210" i="204"/>
  <c r="V210" i="204"/>
  <c r="AH209" i="204"/>
  <c r="AG209" i="204"/>
  <c r="AF209" i="204"/>
  <c r="AE209" i="204"/>
  <c r="AC209" i="204"/>
  <c r="AA209" i="204"/>
  <c r="Z209" i="204"/>
  <c r="Y209" i="204"/>
  <c r="X209" i="204"/>
  <c r="W209" i="204"/>
  <c r="V209" i="204"/>
  <c r="AH208" i="204"/>
  <c r="AG208" i="204"/>
  <c r="AF208" i="204"/>
  <c r="AE208" i="204"/>
  <c r="AC208" i="204"/>
  <c r="AA208" i="204"/>
  <c r="Z208" i="204"/>
  <c r="Y208" i="204"/>
  <c r="X208" i="204"/>
  <c r="W208" i="204"/>
  <c r="V208" i="204"/>
  <c r="AH207" i="204"/>
  <c r="AG207" i="204"/>
  <c r="AF207" i="204"/>
  <c r="AE207" i="204"/>
  <c r="AC207" i="204"/>
  <c r="AA207" i="204"/>
  <c r="Z207" i="204"/>
  <c r="Y207" i="204"/>
  <c r="X207" i="204"/>
  <c r="W207" i="204"/>
  <c r="V207" i="204"/>
  <c r="AH206" i="204"/>
  <c r="AG206" i="204"/>
  <c r="AF206" i="204"/>
  <c r="AE206" i="204"/>
  <c r="AC206" i="204"/>
  <c r="AA206" i="204"/>
  <c r="Z206" i="204"/>
  <c r="Y206" i="204"/>
  <c r="X206" i="204"/>
  <c r="W206" i="204"/>
  <c r="V206" i="204"/>
  <c r="AH205" i="204"/>
  <c r="AG205" i="204"/>
  <c r="AF205" i="204"/>
  <c r="AE205" i="204"/>
  <c r="AC205" i="204"/>
  <c r="AA205" i="204"/>
  <c r="Z205" i="204"/>
  <c r="Y205" i="204"/>
  <c r="X205" i="204"/>
  <c r="W205" i="204"/>
  <c r="V205" i="204"/>
  <c r="AH204" i="204"/>
  <c r="AG204" i="204"/>
  <c r="AF204" i="204"/>
  <c r="AE204" i="204"/>
  <c r="AC204" i="204"/>
  <c r="AA204" i="204"/>
  <c r="Z204" i="204"/>
  <c r="Y204" i="204"/>
  <c r="X204" i="204"/>
  <c r="W204" i="204"/>
  <c r="V204" i="204"/>
  <c r="AH203" i="204"/>
  <c r="AG203" i="204"/>
  <c r="AF203" i="204"/>
  <c r="AE203" i="204"/>
  <c r="AC203" i="204"/>
  <c r="AA203" i="204"/>
  <c r="Z203" i="204"/>
  <c r="Y203" i="204"/>
  <c r="X203" i="204"/>
  <c r="W203" i="204"/>
  <c r="V203" i="204"/>
  <c r="AH202" i="204"/>
  <c r="AG202" i="204"/>
  <c r="AF202" i="204"/>
  <c r="AE202" i="204"/>
  <c r="AC202" i="204"/>
  <c r="AA202" i="204"/>
  <c r="Z202" i="204"/>
  <c r="Y202" i="204"/>
  <c r="X202" i="204"/>
  <c r="W202" i="204"/>
  <c r="V202" i="204"/>
  <c r="AH201" i="204"/>
  <c r="AG201" i="204"/>
  <c r="AF201" i="204"/>
  <c r="AE201" i="204"/>
  <c r="AC201" i="204"/>
  <c r="AA201" i="204"/>
  <c r="Z201" i="204"/>
  <c r="Y201" i="204"/>
  <c r="X201" i="204"/>
  <c r="W201" i="204"/>
  <c r="V201" i="204"/>
  <c r="AH200" i="204"/>
  <c r="AG200" i="204"/>
  <c r="AF200" i="204"/>
  <c r="AE200" i="204"/>
  <c r="AC200" i="204"/>
  <c r="AA200" i="204"/>
  <c r="Z200" i="204"/>
  <c r="Y200" i="204"/>
  <c r="X200" i="204"/>
  <c r="W200" i="204"/>
  <c r="V200" i="204"/>
  <c r="AH199" i="204"/>
  <c r="AG199" i="204"/>
  <c r="AF199" i="204"/>
  <c r="AE199" i="204"/>
  <c r="AC199" i="204"/>
  <c r="AA199" i="204"/>
  <c r="Z199" i="204"/>
  <c r="Y199" i="204"/>
  <c r="X199" i="204"/>
  <c r="W199" i="204"/>
  <c r="V199" i="204"/>
  <c r="AH198" i="204"/>
  <c r="AG198" i="204"/>
  <c r="AF198" i="204"/>
  <c r="AE198" i="204"/>
  <c r="AC198" i="204"/>
  <c r="AA198" i="204"/>
  <c r="Z198" i="204"/>
  <c r="Y198" i="204"/>
  <c r="X198" i="204"/>
  <c r="W198" i="204"/>
  <c r="V198" i="204"/>
  <c r="AH197" i="204"/>
  <c r="AG197" i="204"/>
  <c r="AF197" i="204"/>
  <c r="AE197" i="204"/>
  <c r="AC197" i="204"/>
  <c r="AA197" i="204"/>
  <c r="Z197" i="204"/>
  <c r="Y197" i="204"/>
  <c r="X197" i="204"/>
  <c r="W197" i="204"/>
  <c r="V197" i="204"/>
  <c r="AH196" i="204"/>
  <c r="AG196" i="204"/>
  <c r="AF196" i="204"/>
  <c r="AE196" i="204"/>
  <c r="AC196" i="204"/>
  <c r="AA196" i="204"/>
  <c r="Z196" i="204"/>
  <c r="Y196" i="204"/>
  <c r="X196" i="204"/>
  <c r="W196" i="204"/>
  <c r="V196" i="204"/>
  <c r="AH195" i="204"/>
  <c r="AG195" i="204"/>
  <c r="AF195" i="204"/>
  <c r="AE195" i="204"/>
  <c r="AC195" i="204"/>
  <c r="AA195" i="204"/>
  <c r="Z195" i="204"/>
  <c r="Y195" i="204"/>
  <c r="X195" i="204"/>
  <c r="W195" i="204"/>
  <c r="V195" i="204"/>
  <c r="AH194" i="204"/>
  <c r="AG194" i="204"/>
  <c r="AF194" i="204"/>
  <c r="AE194" i="204"/>
  <c r="AC194" i="204"/>
  <c r="AA194" i="204"/>
  <c r="Z194" i="204"/>
  <c r="Y194" i="204"/>
  <c r="X194" i="204"/>
  <c r="W194" i="204"/>
  <c r="V194" i="204"/>
  <c r="AH193" i="204"/>
  <c r="AG193" i="204"/>
  <c r="AF193" i="204"/>
  <c r="AE193" i="204"/>
  <c r="AC193" i="204"/>
  <c r="AA193" i="204"/>
  <c r="Z193" i="204"/>
  <c r="Y193" i="204"/>
  <c r="X193" i="204"/>
  <c r="W193" i="204"/>
  <c r="V193" i="204"/>
  <c r="AH192" i="204"/>
  <c r="AG192" i="204"/>
  <c r="AF192" i="204"/>
  <c r="AE192" i="204"/>
  <c r="AC192" i="204"/>
  <c r="AA192" i="204"/>
  <c r="Z192" i="204"/>
  <c r="Y192" i="204"/>
  <c r="X192" i="204"/>
  <c r="W192" i="204"/>
  <c r="V192" i="204"/>
  <c r="AH191" i="204"/>
  <c r="AG191" i="204"/>
  <c r="AF191" i="204"/>
  <c r="AE191" i="204"/>
  <c r="AC191" i="204"/>
  <c r="AA191" i="204"/>
  <c r="Z191" i="204"/>
  <c r="Y191" i="204"/>
  <c r="X191" i="204"/>
  <c r="W191" i="204"/>
  <c r="V191" i="204"/>
  <c r="AH190" i="204"/>
  <c r="AG190" i="204"/>
  <c r="AF190" i="204"/>
  <c r="AE190" i="204"/>
  <c r="AC190" i="204"/>
  <c r="AA190" i="204"/>
  <c r="Z190" i="204"/>
  <c r="Y190" i="204"/>
  <c r="X190" i="204"/>
  <c r="W190" i="204"/>
  <c r="V190" i="204"/>
  <c r="AH189" i="204"/>
  <c r="AG189" i="204"/>
  <c r="AF189" i="204"/>
  <c r="AE189" i="204"/>
  <c r="AC189" i="204"/>
  <c r="AA189" i="204"/>
  <c r="Z189" i="204"/>
  <c r="Y189" i="204"/>
  <c r="X189" i="204"/>
  <c r="W189" i="204"/>
  <c r="V189" i="204"/>
  <c r="AH188" i="204"/>
  <c r="AG188" i="204"/>
  <c r="AF188" i="204"/>
  <c r="AE188" i="204"/>
  <c r="AC188" i="204"/>
  <c r="AA188" i="204"/>
  <c r="Z188" i="204"/>
  <c r="Y188" i="204"/>
  <c r="X188" i="204"/>
  <c r="W188" i="204"/>
  <c r="V188" i="204"/>
  <c r="AH187" i="204"/>
  <c r="AG187" i="204"/>
  <c r="AF187" i="204"/>
  <c r="AE187" i="204"/>
  <c r="AC187" i="204"/>
  <c r="AA187" i="204"/>
  <c r="Z187" i="204"/>
  <c r="Y187" i="204"/>
  <c r="X187" i="204"/>
  <c r="W187" i="204"/>
  <c r="V187" i="204"/>
  <c r="AH186" i="204"/>
  <c r="AG186" i="204"/>
  <c r="AF186" i="204"/>
  <c r="AE186" i="204"/>
  <c r="AC186" i="204"/>
  <c r="AA186" i="204"/>
  <c r="Z186" i="204"/>
  <c r="Y186" i="204"/>
  <c r="X186" i="204"/>
  <c r="W186" i="204"/>
  <c r="V186" i="204"/>
  <c r="AH185" i="204"/>
  <c r="AG185" i="204"/>
  <c r="AF185" i="204"/>
  <c r="AE185" i="204"/>
  <c r="AC185" i="204"/>
  <c r="AA185" i="204"/>
  <c r="Z185" i="204"/>
  <c r="Y185" i="204"/>
  <c r="X185" i="204"/>
  <c r="W185" i="204"/>
  <c r="V185" i="204"/>
  <c r="AH184" i="204"/>
  <c r="AG184" i="204"/>
  <c r="AF184" i="204"/>
  <c r="AE184" i="204"/>
  <c r="AC184" i="204"/>
  <c r="AA184" i="204"/>
  <c r="Z184" i="204"/>
  <c r="Y184" i="204"/>
  <c r="X184" i="204"/>
  <c r="W184" i="204"/>
  <c r="V184" i="204"/>
  <c r="AH183" i="204"/>
  <c r="AG183" i="204"/>
  <c r="AF183" i="204"/>
  <c r="AE183" i="204"/>
  <c r="AC183" i="204"/>
  <c r="AA183" i="204"/>
  <c r="Z183" i="204"/>
  <c r="Y183" i="204"/>
  <c r="X183" i="204"/>
  <c r="W183" i="204"/>
  <c r="V183" i="204"/>
  <c r="AH182" i="204"/>
  <c r="AG182" i="204"/>
  <c r="AF182" i="204"/>
  <c r="AE182" i="204"/>
  <c r="AC182" i="204"/>
  <c r="AA182" i="204"/>
  <c r="Z182" i="204"/>
  <c r="Y182" i="204"/>
  <c r="X182" i="204"/>
  <c r="W182" i="204"/>
  <c r="V182" i="204"/>
  <c r="AH181" i="204"/>
  <c r="AG181" i="204"/>
  <c r="AF181" i="204"/>
  <c r="AE181" i="204"/>
  <c r="AC181" i="204"/>
  <c r="AA181" i="204"/>
  <c r="Z181" i="204"/>
  <c r="Y181" i="204"/>
  <c r="X181" i="204"/>
  <c r="W181" i="204"/>
  <c r="V181" i="204"/>
  <c r="AH180" i="204"/>
  <c r="AG180" i="204"/>
  <c r="AF180" i="204"/>
  <c r="AE180" i="204"/>
  <c r="AC180" i="204"/>
  <c r="AA180" i="204"/>
  <c r="Z180" i="204"/>
  <c r="Y180" i="204"/>
  <c r="X180" i="204"/>
  <c r="W180" i="204"/>
  <c r="V180" i="204"/>
  <c r="AH179" i="204"/>
  <c r="AG179" i="204"/>
  <c r="AF179" i="204"/>
  <c r="AE179" i="204"/>
  <c r="AC179" i="204"/>
  <c r="AA179" i="204"/>
  <c r="Z179" i="204"/>
  <c r="Y179" i="204"/>
  <c r="X179" i="204"/>
  <c r="W179" i="204"/>
  <c r="V179" i="204"/>
  <c r="AH178" i="204"/>
  <c r="AG178" i="204"/>
  <c r="AF178" i="204"/>
  <c r="AE178" i="204"/>
  <c r="AC178" i="204"/>
  <c r="AA178" i="204"/>
  <c r="Z178" i="204"/>
  <c r="Y178" i="204"/>
  <c r="X178" i="204"/>
  <c r="W178" i="204"/>
  <c r="V178" i="204"/>
  <c r="AH177" i="204"/>
  <c r="AG177" i="204"/>
  <c r="AF177" i="204"/>
  <c r="AE177" i="204"/>
  <c r="AC177" i="204"/>
  <c r="AA177" i="204"/>
  <c r="Z177" i="204"/>
  <c r="Y177" i="204"/>
  <c r="X177" i="204"/>
  <c r="W177" i="204"/>
  <c r="V177" i="204"/>
  <c r="AH176" i="204"/>
  <c r="AG176" i="204"/>
  <c r="AF176" i="204"/>
  <c r="AE176" i="204"/>
  <c r="AC176" i="204"/>
  <c r="AA176" i="204"/>
  <c r="Z176" i="204"/>
  <c r="Y176" i="204"/>
  <c r="X176" i="204"/>
  <c r="W176" i="204"/>
  <c r="V176" i="204"/>
  <c r="AH175" i="204"/>
  <c r="AG175" i="204"/>
  <c r="AF175" i="204"/>
  <c r="AE175" i="204"/>
  <c r="AC175" i="204"/>
  <c r="AA175" i="204"/>
  <c r="Z175" i="204"/>
  <c r="Y175" i="204"/>
  <c r="X175" i="204"/>
  <c r="W175" i="204"/>
  <c r="V175" i="204"/>
  <c r="AH174" i="204"/>
  <c r="AG174" i="204"/>
  <c r="AF174" i="204"/>
  <c r="AE174" i="204"/>
  <c r="AC174" i="204"/>
  <c r="AA174" i="204"/>
  <c r="Z174" i="204"/>
  <c r="Y174" i="204"/>
  <c r="X174" i="204"/>
  <c r="W174" i="204"/>
  <c r="V174" i="204"/>
  <c r="AH173" i="204"/>
  <c r="AG173" i="204"/>
  <c r="AF173" i="204"/>
  <c r="AE173" i="204"/>
  <c r="AC173" i="204"/>
  <c r="AA173" i="204"/>
  <c r="Z173" i="204"/>
  <c r="Y173" i="204"/>
  <c r="X173" i="204"/>
  <c r="W173" i="204"/>
  <c r="V173" i="204"/>
  <c r="AH172" i="204"/>
  <c r="AG172" i="204"/>
  <c r="AF172" i="204"/>
  <c r="AE172" i="204"/>
  <c r="AC172" i="204"/>
  <c r="AA172" i="204"/>
  <c r="Z172" i="204"/>
  <c r="Y172" i="204"/>
  <c r="X172" i="204"/>
  <c r="W172" i="204"/>
  <c r="V172" i="204"/>
  <c r="AH171" i="204"/>
  <c r="AG171" i="204"/>
  <c r="AF171" i="204"/>
  <c r="AE171" i="204"/>
  <c r="AC171" i="204"/>
  <c r="AA171" i="204"/>
  <c r="Z171" i="204"/>
  <c r="Y171" i="204"/>
  <c r="X171" i="204"/>
  <c r="W171" i="204"/>
  <c r="V171" i="204"/>
  <c r="AH170" i="204"/>
  <c r="AG170" i="204"/>
  <c r="AF170" i="204"/>
  <c r="AE170" i="204"/>
  <c r="AC170" i="204"/>
  <c r="AA170" i="204"/>
  <c r="Z170" i="204"/>
  <c r="Y170" i="204"/>
  <c r="X170" i="204"/>
  <c r="W170" i="204"/>
  <c r="V170" i="204"/>
  <c r="AH169" i="204"/>
  <c r="AG169" i="204"/>
  <c r="AF169" i="204"/>
  <c r="AE169" i="204"/>
  <c r="AC169" i="204"/>
  <c r="AA169" i="204"/>
  <c r="Z169" i="204"/>
  <c r="Y169" i="204"/>
  <c r="X169" i="204"/>
  <c r="W169" i="204"/>
  <c r="V169" i="204"/>
  <c r="AH168" i="204"/>
  <c r="AG168" i="204"/>
  <c r="AF168" i="204"/>
  <c r="AE168" i="204"/>
  <c r="AC168" i="204"/>
  <c r="AA168" i="204"/>
  <c r="Z168" i="204"/>
  <c r="Y168" i="204"/>
  <c r="X168" i="204"/>
  <c r="W168" i="204"/>
  <c r="V168" i="204"/>
  <c r="AH167" i="204"/>
  <c r="AG167" i="204"/>
  <c r="AF167" i="204"/>
  <c r="AE167" i="204"/>
  <c r="AC167" i="204"/>
  <c r="AA167" i="204"/>
  <c r="Z167" i="204"/>
  <c r="Y167" i="204"/>
  <c r="X167" i="204"/>
  <c r="W167" i="204"/>
  <c r="V167" i="204"/>
  <c r="AH166" i="204"/>
  <c r="AG166" i="204"/>
  <c r="AF166" i="204"/>
  <c r="AE166" i="204"/>
  <c r="AC166" i="204"/>
  <c r="AA166" i="204"/>
  <c r="Z166" i="204"/>
  <c r="Y166" i="204"/>
  <c r="X166" i="204"/>
  <c r="W166" i="204"/>
  <c r="V166" i="204"/>
  <c r="AH165" i="204"/>
  <c r="AG165" i="204"/>
  <c r="AF165" i="204"/>
  <c r="AE165" i="204"/>
  <c r="AC165" i="204"/>
  <c r="AA165" i="204"/>
  <c r="Z165" i="204"/>
  <c r="Y165" i="204"/>
  <c r="X165" i="204"/>
  <c r="W165" i="204"/>
  <c r="V165" i="204"/>
  <c r="AH164" i="204"/>
  <c r="AG164" i="204"/>
  <c r="AF164" i="204"/>
  <c r="AE164" i="204"/>
  <c r="AC164" i="204"/>
  <c r="AA164" i="204"/>
  <c r="Z164" i="204"/>
  <c r="Y164" i="204"/>
  <c r="X164" i="204"/>
  <c r="W164" i="204"/>
  <c r="V164" i="204"/>
  <c r="AH163" i="204"/>
  <c r="AG163" i="204"/>
  <c r="AF163" i="204"/>
  <c r="AE163" i="204"/>
  <c r="AC163" i="204"/>
  <c r="AA163" i="204"/>
  <c r="Z163" i="204"/>
  <c r="Y163" i="204"/>
  <c r="X163" i="204"/>
  <c r="W163" i="204"/>
  <c r="V163" i="204"/>
  <c r="AH162" i="204"/>
  <c r="AG162" i="204"/>
  <c r="AF162" i="204"/>
  <c r="AE162" i="204"/>
  <c r="AC162" i="204"/>
  <c r="AA162" i="204"/>
  <c r="Z162" i="204"/>
  <c r="Y162" i="204"/>
  <c r="X162" i="204"/>
  <c r="W162" i="204"/>
  <c r="V162" i="204"/>
  <c r="AH161" i="204"/>
  <c r="AG161" i="204"/>
  <c r="AF161" i="204"/>
  <c r="AE161" i="204"/>
  <c r="AC161" i="204"/>
  <c r="AA161" i="204"/>
  <c r="Z161" i="204"/>
  <c r="Y161" i="204"/>
  <c r="X161" i="204"/>
  <c r="W161" i="204"/>
  <c r="V161" i="204"/>
  <c r="AH160" i="204"/>
  <c r="AG160" i="204"/>
  <c r="AF160" i="204"/>
  <c r="AE160" i="204"/>
  <c r="AC160" i="204"/>
  <c r="AA160" i="204"/>
  <c r="Z160" i="204"/>
  <c r="Y160" i="204"/>
  <c r="X160" i="204"/>
  <c r="W160" i="204"/>
  <c r="V160" i="204"/>
  <c r="AH159" i="204"/>
  <c r="AG159" i="204"/>
  <c r="AF159" i="204"/>
  <c r="AE159" i="204"/>
  <c r="AC159" i="204"/>
  <c r="AA159" i="204"/>
  <c r="Z159" i="204"/>
  <c r="Y159" i="204"/>
  <c r="X159" i="204"/>
  <c r="W159" i="204"/>
  <c r="V159" i="204"/>
  <c r="AH158" i="204"/>
  <c r="AG158" i="204"/>
  <c r="AF158" i="204"/>
  <c r="AE158" i="204"/>
  <c r="AC158" i="204"/>
  <c r="AA158" i="204"/>
  <c r="Z158" i="204"/>
  <c r="Y158" i="204"/>
  <c r="X158" i="204"/>
  <c r="W158" i="204"/>
  <c r="V158" i="204"/>
  <c r="AH157" i="204"/>
  <c r="AG157" i="204"/>
  <c r="AF157" i="204"/>
  <c r="AE157" i="204"/>
  <c r="AC157" i="204"/>
  <c r="AA157" i="204"/>
  <c r="Z157" i="204"/>
  <c r="Y157" i="204"/>
  <c r="X157" i="204"/>
  <c r="W157" i="204"/>
  <c r="V157" i="204"/>
  <c r="AH156" i="204"/>
  <c r="AG156" i="204"/>
  <c r="AF156" i="204"/>
  <c r="AE156" i="204"/>
  <c r="AC156" i="204"/>
  <c r="AA156" i="204"/>
  <c r="Z156" i="204"/>
  <c r="Y156" i="204"/>
  <c r="X156" i="204"/>
  <c r="W156" i="204"/>
  <c r="V156" i="204"/>
  <c r="AH155" i="204"/>
  <c r="AG155" i="204"/>
  <c r="AF155" i="204"/>
  <c r="AE155" i="204"/>
  <c r="AC155" i="204"/>
  <c r="AA155" i="204"/>
  <c r="Z155" i="204"/>
  <c r="Y155" i="204"/>
  <c r="X155" i="204"/>
  <c r="W155" i="204"/>
  <c r="V155" i="204"/>
  <c r="AH154" i="204"/>
  <c r="AG154" i="204"/>
  <c r="AF154" i="204"/>
  <c r="AE154" i="204"/>
  <c r="AC154" i="204"/>
  <c r="AA154" i="204"/>
  <c r="Z154" i="204"/>
  <c r="Y154" i="204"/>
  <c r="X154" i="204"/>
  <c r="W154" i="204"/>
  <c r="V154" i="204"/>
  <c r="AH153" i="204"/>
  <c r="AG153" i="204"/>
  <c r="AF153" i="204"/>
  <c r="AE153" i="204"/>
  <c r="AC153" i="204"/>
  <c r="AA153" i="204"/>
  <c r="Z153" i="204"/>
  <c r="Y153" i="204"/>
  <c r="X153" i="204"/>
  <c r="W153" i="204"/>
  <c r="V153" i="204"/>
  <c r="AH152" i="204"/>
  <c r="AG152" i="204"/>
  <c r="AF152" i="204"/>
  <c r="AE152" i="204"/>
  <c r="AC152" i="204"/>
  <c r="AA152" i="204"/>
  <c r="Z152" i="204"/>
  <c r="Y152" i="204"/>
  <c r="X152" i="204"/>
  <c r="W152" i="204"/>
  <c r="V152" i="204"/>
  <c r="AH151" i="204"/>
  <c r="AG151" i="204"/>
  <c r="AF151" i="204"/>
  <c r="AE151" i="204"/>
  <c r="AC151" i="204"/>
  <c r="AA151" i="204"/>
  <c r="Z151" i="204"/>
  <c r="Y151" i="204"/>
  <c r="X151" i="204"/>
  <c r="W151" i="204"/>
  <c r="V151" i="204"/>
  <c r="AH150" i="204"/>
  <c r="AG150" i="204"/>
  <c r="AF150" i="204"/>
  <c r="AE150" i="204"/>
  <c r="AC150" i="204"/>
  <c r="AA150" i="204"/>
  <c r="Z150" i="204"/>
  <c r="Y150" i="204"/>
  <c r="X150" i="204"/>
  <c r="W150" i="204"/>
  <c r="V150" i="204"/>
  <c r="AH149" i="204"/>
  <c r="AG149" i="204"/>
  <c r="AF149" i="204"/>
  <c r="AE149" i="204"/>
  <c r="AC149" i="204"/>
  <c r="AA149" i="204"/>
  <c r="Z149" i="204"/>
  <c r="Y149" i="204"/>
  <c r="X149" i="204"/>
  <c r="W149" i="204"/>
  <c r="V149" i="204"/>
  <c r="AH148" i="204"/>
  <c r="AG148" i="204"/>
  <c r="AF148" i="204"/>
  <c r="AE148" i="204"/>
  <c r="AC148" i="204"/>
  <c r="AA148" i="204"/>
  <c r="Z148" i="204"/>
  <c r="Y148" i="204"/>
  <c r="X148" i="204"/>
  <c r="W148" i="204"/>
  <c r="V148" i="204"/>
  <c r="AH147" i="204"/>
  <c r="AG147" i="204"/>
  <c r="AF147" i="204"/>
  <c r="AE147" i="204"/>
  <c r="AC147" i="204"/>
  <c r="AA147" i="204"/>
  <c r="Z147" i="204"/>
  <c r="Y147" i="204"/>
  <c r="X147" i="204"/>
  <c r="W147" i="204"/>
  <c r="V147" i="204"/>
  <c r="AH146" i="204"/>
  <c r="AG146" i="204"/>
  <c r="AF146" i="204"/>
  <c r="AE146" i="204"/>
  <c r="AC146" i="204"/>
  <c r="AA146" i="204"/>
  <c r="Z146" i="204"/>
  <c r="Y146" i="204"/>
  <c r="X146" i="204"/>
  <c r="W146" i="204"/>
  <c r="V146" i="204"/>
  <c r="AH145" i="204"/>
  <c r="AG145" i="204"/>
  <c r="AF145" i="204"/>
  <c r="AE145" i="204"/>
  <c r="AC145" i="204"/>
  <c r="AA145" i="204"/>
  <c r="Z145" i="204"/>
  <c r="Y145" i="204"/>
  <c r="X145" i="204"/>
  <c r="W145" i="204"/>
  <c r="V145" i="204"/>
  <c r="AH144" i="204"/>
  <c r="AG144" i="204"/>
  <c r="AF144" i="204"/>
  <c r="AE144" i="204"/>
  <c r="AC144" i="204"/>
  <c r="AA144" i="204"/>
  <c r="Z144" i="204"/>
  <c r="Y144" i="204"/>
  <c r="X144" i="204"/>
  <c r="W144" i="204"/>
  <c r="V144" i="204"/>
  <c r="AH143" i="204"/>
  <c r="AG143" i="204"/>
  <c r="AF143" i="204"/>
  <c r="AE143" i="204"/>
  <c r="AC143" i="204"/>
  <c r="AA143" i="204"/>
  <c r="Z143" i="204"/>
  <c r="Y143" i="204"/>
  <c r="X143" i="204"/>
  <c r="W143" i="204"/>
  <c r="V143" i="204"/>
  <c r="AH142" i="204"/>
  <c r="AG142" i="204"/>
  <c r="AF142" i="204"/>
  <c r="AE142" i="204"/>
  <c r="AC142" i="204"/>
  <c r="AA142" i="204"/>
  <c r="Z142" i="204"/>
  <c r="Y142" i="204"/>
  <c r="X142" i="204"/>
  <c r="W142" i="204"/>
  <c r="V142" i="204"/>
  <c r="AH141" i="204"/>
  <c r="AG141" i="204"/>
  <c r="AF141" i="204"/>
  <c r="AE141" i="204"/>
  <c r="AC141" i="204"/>
  <c r="AA141" i="204"/>
  <c r="Z141" i="204"/>
  <c r="Y141" i="204"/>
  <c r="X141" i="204"/>
  <c r="W141" i="204"/>
  <c r="V141" i="204"/>
  <c r="AH140" i="204"/>
  <c r="AG140" i="204"/>
  <c r="AF140" i="204"/>
  <c r="AE140" i="204"/>
  <c r="AC140" i="204"/>
  <c r="AA140" i="204"/>
  <c r="Z140" i="204"/>
  <c r="Y140" i="204"/>
  <c r="X140" i="204"/>
  <c r="W140" i="204"/>
  <c r="V140" i="204"/>
  <c r="AH139" i="204"/>
  <c r="AG139" i="204"/>
  <c r="AF139" i="204"/>
  <c r="AE139" i="204"/>
  <c r="AC139" i="204"/>
  <c r="AA139" i="204"/>
  <c r="Z139" i="204"/>
  <c r="Y139" i="204"/>
  <c r="X139" i="204"/>
  <c r="W139" i="204"/>
  <c r="V139" i="204"/>
  <c r="AH138" i="204"/>
  <c r="AG138" i="204"/>
  <c r="AF138" i="204"/>
  <c r="AE138" i="204"/>
  <c r="AC138" i="204"/>
  <c r="AA138" i="204"/>
  <c r="Z138" i="204"/>
  <c r="Y138" i="204"/>
  <c r="X138" i="204"/>
  <c r="W138" i="204"/>
  <c r="V138" i="204"/>
  <c r="AH137" i="204"/>
  <c r="AG137" i="204"/>
  <c r="AF137" i="204"/>
  <c r="AE137" i="204"/>
  <c r="AC137" i="204"/>
  <c r="AA137" i="204"/>
  <c r="Z137" i="204"/>
  <c r="Y137" i="204"/>
  <c r="X137" i="204"/>
  <c r="W137" i="204"/>
  <c r="V137" i="204"/>
  <c r="AH136" i="204"/>
  <c r="AG136" i="204"/>
  <c r="AF136" i="204"/>
  <c r="AE136" i="204"/>
  <c r="AC136" i="204"/>
  <c r="AA136" i="204"/>
  <c r="Z136" i="204"/>
  <c r="Y136" i="204"/>
  <c r="X136" i="204"/>
  <c r="W136" i="204"/>
  <c r="V136" i="204"/>
  <c r="AH135" i="204"/>
  <c r="AG135" i="204"/>
  <c r="AF135" i="204"/>
  <c r="AE135" i="204"/>
  <c r="AC135" i="204"/>
  <c r="AA135" i="204"/>
  <c r="Z135" i="204"/>
  <c r="Y135" i="204"/>
  <c r="X135" i="204"/>
  <c r="W135" i="204"/>
  <c r="V135" i="204"/>
  <c r="AH134" i="204"/>
  <c r="AG134" i="204"/>
  <c r="AF134" i="204"/>
  <c r="AE134" i="204"/>
  <c r="AC134" i="204"/>
  <c r="AA134" i="204"/>
  <c r="Z134" i="204"/>
  <c r="Y134" i="204"/>
  <c r="X134" i="204"/>
  <c r="W134" i="204"/>
  <c r="V134" i="204"/>
  <c r="AH133" i="204"/>
  <c r="AG133" i="204"/>
  <c r="AF133" i="204"/>
  <c r="AE133" i="204"/>
  <c r="AC133" i="204"/>
  <c r="AA133" i="204"/>
  <c r="Z133" i="204"/>
  <c r="Y133" i="204"/>
  <c r="X133" i="204"/>
  <c r="W133" i="204"/>
  <c r="V133" i="204"/>
  <c r="AH132" i="204"/>
  <c r="AG132" i="204"/>
  <c r="AF132" i="204"/>
  <c r="AE132" i="204"/>
  <c r="AC132" i="204"/>
  <c r="AA132" i="204"/>
  <c r="Z132" i="204"/>
  <c r="Y132" i="204"/>
  <c r="X132" i="204"/>
  <c r="W132" i="204"/>
  <c r="V132" i="204"/>
  <c r="AH131" i="204"/>
  <c r="AG131" i="204"/>
  <c r="AF131" i="204"/>
  <c r="AE131" i="204"/>
  <c r="AC131" i="204"/>
  <c r="AA131" i="204"/>
  <c r="Z131" i="204"/>
  <c r="Y131" i="204"/>
  <c r="X131" i="204"/>
  <c r="W131" i="204"/>
  <c r="V131" i="204"/>
  <c r="AH130" i="204"/>
  <c r="AG130" i="204"/>
  <c r="AF130" i="204"/>
  <c r="AE130" i="204"/>
  <c r="AC130" i="204"/>
  <c r="AA130" i="204"/>
  <c r="Z130" i="204"/>
  <c r="Y130" i="204"/>
  <c r="X130" i="204"/>
  <c r="W130" i="204"/>
  <c r="V130" i="204"/>
  <c r="AH129" i="204"/>
  <c r="AG129" i="204"/>
  <c r="AF129" i="204"/>
  <c r="AE129" i="204"/>
  <c r="AC129" i="204"/>
  <c r="AA129" i="204"/>
  <c r="Z129" i="204"/>
  <c r="Y129" i="204"/>
  <c r="X129" i="204"/>
  <c r="W129" i="204"/>
  <c r="V129" i="204"/>
  <c r="AH128" i="204"/>
  <c r="AG128" i="204"/>
  <c r="AF128" i="204"/>
  <c r="AE128" i="204"/>
  <c r="AC128" i="204"/>
  <c r="AA128" i="204"/>
  <c r="Z128" i="204"/>
  <c r="Y128" i="204"/>
  <c r="X128" i="204"/>
  <c r="W128" i="204"/>
  <c r="V128" i="204"/>
  <c r="AH127" i="204"/>
  <c r="AG127" i="204"/>
  <c r="AF127" i="204"/>
  <c r="AE127" i="204"/>
  <c r="AC127" i="204"/>
  <c r="AA127" i="204"/>
  <c r="Z127" i="204"/>
  <c r="Y127" i="204"/>
  <c r="X127" i="204"/>
  <c r="W127" i="204"/>
  <c r="V127" i="204"/>
  <c r="AH126" i="204"/>
  <c r="AG126" i="204"/>
  <c r="AF126" i="204"/>
  <c r="AE126" i="204"/>
  <c r="AC126" i="204"/>
  <c r="AA126" i="204"/>
  <c r="Z126" i="204"/>
  <c r="Y126" i="204"/>
  <c r="X126" i="204"/>
  <c r="W126" i="204"/>
  <c r="V126" i="204"/>
  <c r="AH125" i="204"/>
  <c r="AG125" i="204"/>
  <c r="AF125" i="204"/>
  <c r="AE125" i="204"/>
  <c r="AC125" i="204"/>
  <c r="AA125" i="204"/>
  <c r="Z125" i="204"/>
  <c r="Y125" i="204"/>
  <c r="X125" i="204"/>
  <c r="W125" i="204"/>
  <c r="V125" i="204"/>
  <c r="AH124" i="204"/>
  <c r="AG124" i="204"/>
  <c r="AF124" i="204"/>
  <c r="AE124" i="204"/>
  <c r="AC124" i="204"/>
  <c r="AA124" i="204"/>
  <c r="Z124" i="204"/>
  <c r="Y124" i="204"/>
  <c r="X124" i="204"/>
  <c r="W124" i="204"/>
  <c r="V124" i="204"/>
  <c r="AH123" i="204"/>
  <c r="AG123" i="204"/>
  <c r="AF123" i="204"/>
  <c r="AE123" i="204"/>
  <c r="AC123" i="204"/>
  <c r="AA123" i="204"/>
  <c r="Z123" i="204"/>
  <c r="Y123" i="204"/>
  <c r="X123" i="204"/>
  <c r="W123" i="204"/>
  <c r="V123" i="204"/>
  <c r="AH122" i="204"/>
  <c r="AG122" i="204"/>
  <c r="AF122" i="204"/>
  <c r="AE122" i="204"/>
  <c r="AC122" i="204"/>
  <c r="AA122" i="204"/>
  <c r="Z122" i="204"/>
  <c r="Y122" i="204"/>
  <c r="X122" i="204"/>
  <c r="W122" i="204"/>
  <c r="V122" i="204"/>
  <c r="AH121" i="204"/>
  <c r="AG121" i="204"/>
  <c r="AF121" i="204"/>
  <c r="AE121" i="204"/>
  <c r="AC121" i="204"/>
  <c r="AA121" i="204"/>
  <c r="Z121" i="204"/>
  <c r="Y121" i="204"/>
  <c r="X121" i="204"/>
  <c r="W121" i="204"/>
  <c r="V121" i="204"/>
  <c r="AH120" i="204"/>
  <c r="AG120" i="204"/>
  <c r="AF120" i="204"/>
  <c r="AE120" i="204"/>
  <c r="AC120" i="204"/>
  <c r="AA120" i="204"/>
  <c r="Z120" i="204"/>
  <c r="Y120" i="204"/>
  <c r="X120" i="204"/>
  <c r="W120" i="204"/>
  <c r="V120" i="204"/>
  <c r="AH119" i="204"/>
  <c r="AG119" i="204"/>
  <c r="AF119" i="204"/>
  <c r="AE119" i="204"/>
  <c r="AC119" i="204"/>
  <c r="AA119" i="204"/>
  <c r="Z119" i="204"/>
  <c r="Y119" i="204"/>
  <c r="X119" i="204"/>
  <c r="W119" i="204"/>
  <c r="V119" i="204"/>
  <c r="AH118" i="204"/>
  <c r="AG118" i="204"/>
  <c r="AF118" i="204"/>
  <c r="AE118" i="204"/>
  <c r="AC118" i="204"/>
  <c r="AA118" i="204"/>
  <c r="Z118" i="204"/>
  <c r="Y118" i="204"/>
  <c r="X118" i="204"/>
  <c r="W118" i="204"/>
  <c r="V118" i="204"/>
  <c r="AH66" i="204"/>
  <c r="AG66" i="204"/>
  <c r="AF66" i="204"/>
  <c r="AE66" i="204"/>
  <c r="AC66" i="204"/>
  <c r="AA66" i="204"/>
  <c r="Z66" i="204"/>
  <c r="Y66" i="204"/>
  <c r="X66" i="204"/>
  <c r="W66" i="204"/>
  <c r="V66" i="204"/>
  <c r="AH65" i="204"/>
  <c r="AG65" i="204"/>
  <c r="AF65" i="204"/>
  <c r="AE65" i="204"/>
  <c r="AC65" i="204"/>
  <c r="AA65" i="204"/>
  <c r="Z65" i="204"/>
  <c r="Y65" i="204"/>
  <c r="X65" i="204"/>
  <c r="W65" i="204"/>
  <c r="V65" i="204"/>
  <c r="AH64" i="204"/>
  <c r="AG64" i="204"/>
  <c r="AF64" i="204"/>
  <c r="AE64" i="204"/>
  <c r="AC64" i="204"/>
  <c r="AA64" i="204"/>
  <c r="Z64" i="204"/>
  <c r="Y64" i="204"/>
  <c r="X64" i="204"/>
  <c r="W64" i="204"/>
  <c r="V64" i="204"/>
  <c r="AH63" i="204"/>
  <c r="AG63" i="204"/>
  <c r="AF63" i="204"/>
  <c r="AE63" i="204"/>
  <c r="AC63" i="204"/>
  <c r="AA63" i="204"/>
  <c r="Z63" i="204"/>
  <c r="Y63" i="204"/>
  <c r="X63" i="204"/>
  <c r="W63" i="204"/>
  <c r="V63" i="204"/>
  <c r="AH62" i="204"/>
  <c r="AG62" i="204"/>
  <c r="AF62" i="204"/>
  <c r="AE62" i="204"/>
  <c r="AC62" i="204"/>
  <c r="AA62" i="204"/>
  <c r="Z62" i="204"/>
  <c r="Y62" i="204"/>
  <c r="X62" i="204"/>
  <c r="W62" i="204"/>
  <c r="V62" i="204"/>
  <c r="AH61" i="204"/>
  <c r="AG61" i="204"/>
  <c r="AF61" i="204"/>
  <c r="AE61" i="204"/>
  <c r="AC61" i="204"/>
  <c r="AA61" i="204"/>
  <c r="Z61" i="204"/>
  <c r="Y61" i="204"/>
  <c r="X61" i="204"/>
  <c r="W61" i="204"/>
  <c r="V61" i="204"/>
  <c r="AH60" i="204"/>
  <c r="AG60" i="204"/>
  <c r="AF60" i="204"/>
  <c r="AE60" i="204"/>
  <c r="AC60" i="204"/>
  <c r="AA60" i="204"/>
  <c r="Z60" i="204"/>
  <c r="Y60" i="204"/>
  <c r="X60" i="204"/>
  <c r="W60" i="204"/>
  <c r="V60" i="204"/>
  <c r="AH59" i="204"/>
  <c r="AG59" i="204"/>
  <c r="AF59" i="204"/>
  <c r="AE59" i="204"/>
  <c r="AC59" i="204"/>
  <c r="AA59" i="204"/>
  <c r="Z59" i="204"/>
  <c r="Y59" i="204"/>
  <c r="X59" i="204"/>
  <c r="W59" i="204"/>
  <c r="V59" i="204"/>
  <c r="AH58" i="204"/>
  <c r="AG58" i="204"/>
  <c r="AF58" i="204"/>
  <c r="AE58" i="204"/>
  <c r="AC58" i="204"/>
  <c r="AA58" i="204"/>
  <c r="Z58" i="204"/>
  <c r="Y58" i="204"/>
  <c r="X58" i="204"/>
  <c r="W58" i="204"/>
  <c r="V58" i="204"/>
  <c r="AH57" i="204"/>
  <c r="AG57" i="204"/>
  <c r="AF57" i="204"/>
  <c r="AE57" i="204"/>
  <c r="AC57" i="204"/>
  <c r="AA57" i="204"/>
  <c r="Z57" i="204"/>
  <c r="Y57" i="204"/>
  <c r="X57" i="204"/>
  <c r="W57" i="204"/>
  <c r="V57" i="204"/>
  <c r="AH56" i="204"/>
  <c r="AG56" i="204"/>
  <c r="AF56" i="204"/>
  <c r="AE56" i="204"/>
  <c r="AC56" i="204"/>
  <c r="AA56" i="204"/>
  <c r="Z56" i="204"/>
  <c r="Y56" i="204"/>
  <c r="X56" i="204"/>
  <c r="W56" i="204"/>
  <c r="V56" i="204"/>
  <c r="AH55" i="204"/>
  <c r="AG55" i="204"/>
  <c r="AF55" i="204"/>
  <c r="AE55" i="204"/>
  <c r="AC55" i="204"/>
  <c r="AA55" i="204"/>
  <c r="Z55" i="204"/>
  <c r="Y55" i="204"/>
  <c r="X55" i="204"/>
  <c r="W55" i="204"/>
  <c r="V55" i="204"/>
  <c r="AH54" i="204"/>
  <c r="AG54" i="204"/>
  <c r="AF54" i="204"/>
  <c r="AE54" i="204"/>
  <c r="AC54" i="204"/>
  <c r="AA54" i="204"/>
  <c r="Z54" i="204"/>
  <c r="Y54" i="204"/>
  <c r="X54" i="204"/>
  <c r="W54" i="204"/>
  <c r="V54" i="204"/>
  <c r="AH53" i="204"/>
  <c r="AG53" i="204"/>
  <c r="AF53" i="204"/>
  <c r="AE53" i="204"/>
  <c r="AC53" i="204"/>
  <c r="AA53" i="204"/>
  <c r="Z53" i="204"/>
  <c r="Y53" i="204"/>
  <c r="X53" i="204"/>
  <c r="W53" i="204"/>
  <c r="V53" i="204"/>
  <c r="AH52" i="204"/>
  <c r="AG52" i="204"/>
  <c r="AF52" i="204"/>
  <c r="AE52" i="204"/>
  <c r="AC52" i="204"/>
  <c r="AA52" i="204"/>
  <c r="Z52" i="204"/>
  <c r="Y52" i="204"/>
  <c r="X52" i="204"/>
  <c r="W52" i="204"/>
  <c r="V52" i="204"/>
  <c r="AH51" i="204"/>
  <c r="AG51" i="204"/>
  <c r="AF51" i="204"/>
  <c r="AE51" i="204"/>
  <c r="AC51" i="204"/>
  <c r="AA51" i="204"/>
  <c r="Z51" i="204"/>
  <c r="Y51" i="204"/>
  <c r="X51" i="204"/>
  <c r="W51" i="204"/>
  <c r="V51" i="204"/>
  <c r="AH50" i="204"/>
  <c r="AG50" i="204"/>
  <c r="AF50" i="204"/>
  <c r="AE50" i="204"/>
  <c r="AC50" i="204"/>
  <c r="AA50" i="204"/>
  <c r="Z50" i="204"/>
  <c r="Y50" i="204"/>
  <c r="X50" i="204"/>
  <c r="W50" i="204"/>
  <c r="V50" i="204"/>
  <c r="AH49" i="204"/>
  <c r="AG49" i="204"/>
  <c r="AF49" i="204"/>
  <c r="AE49" i="204"/>
  <c r="AC49" i="204"/>
  <c r="AA49" i="204"/>
  <c r="Z49" i="204"/>
  <c r="Y49" i="204"/>
  <c r="X49" i="204"/>
  <c r="W49" i="204"/>
  <c r="V49" i="204"/>
  <c r="AH48" i="204"/>
  <c r="AG48" i="204"/>
  <c r="AF48" i="204"/>
  <c r="AE48" i="204"/>
  <c r="AC48" i="204"/>
  <c r="AA48" i="204"/>
  <c r="Z48" i="204"/>
  <c r="Y48" i="204"/>
  <c r="X48" i="204"/>
  <c r="W48" i="204"/>
  <c r="V48" i="204"/>
  <c r="AH47" i="204"/>
  <c r="AG47" i="204"/>
  <c r="AF47" i="204"/>
  <c r="AE47" i="204"/>
  <c r="AC47" i="204"/>
  <c r="AA47" i="204"/>
  <c r="Z47" i="204"/>
  <c r="Y47" i="204"/>
  <c r="X47" i="204"/>
  <c r="W47" i="204"/>
  <c r="V47" i="204"/>
  <c r="AH46" i="204"/>
  <c r="AG46" i="204"/>
  <c r="AF46" i="204"/>
  <c r="AE46" i="204"/>
  <c r="AC46" i="204"/>
  <c r="AA46" i="204"/>
  <c r="Z46" i="204"/>
  <c r="Y46" i="204"/>
  <c r="X46" i="204"/>
  <c r="W46" i="204"/>
  <c r="V46" i="204"/>
  <c r="AH45" i="204"/>
  <c r="AG45" i="204"/>
  <c r="AF45" i="204"/>
  <c r="AE45" i="204"/>
  <c r="AC45" i="204"/>
  <c r="AA45" i="204"/>
  <c r="Z45" i="204"/>
  <c r="Y45" i="204"/>
  <c r="X45" i="204"/>
  <c r="W45" i="204"/>
  <c r="V45" i="204"/>
  <c r="AH44" i="204"/>
  <c r="AG44" i="204"/>
  <c r="AF44" i="204"/>
  <c r="AE44" i="204"/>
  <c r="AC44" i="204"/>
  <c r="AA44" i="204"/>
  <c r="Z44" i="204"/>
  <c r="Y44" i="204"/>
  <c r="X44" i="204"/>
  <c r="W44" i="204"/>
  <c r="V44" i="204"/>
  <c r="AH43" i="204"/>
  <c r="AG43" i="204"/>
  <c r="AF43" i="204"/>
  <c r="AE43" i="204"/>
  <c r="AC43" i="204"/>
  <c r="AA43" i="204"/>
  <c r="Z43" i="204"/>
  <c r="Y43" i="204"/>
  <c r="X43" i="204"/>
  <c r="W43" i="204"/>
  <c r="V43" i="204"/>
  <c r="AH42" i="204"/>
  <c r="AG42" i="204"/>
  <c r="AF42" i="204"/>
  <c r="AE42" i="204"/>
  <c r="AC42" i="204"/>
  <c r="AA42" i="204"/>
  <c r="Z42" i="204"/>
  <c r="Y42" i="204"/>
  <c r="X42" i="204"/>
  <c r="W42" i="204"/>
  <c r="V42" i="204"/>
  <c r="AH41" i="204"/>
  <c r="AG41" i="204"/>
  <c r="AF41" i="204"/>
  <c r="AE41" i="204"/>
  <c r="AC41" i="204"/>
  <c r="AA41" i="204"/>
  <c r="Z41" i="204"/>
  <c r="Y41" i="204"/>
  <c r="X41" i="204"/>
  <c r="W41" i="204"/>
  <c r="V41" i="204"/>
  <c r="AH40" i="204"/>
  <c r="AG40" i="204"/>
  <c r="AF40" i="204"/>
  <c r="AE40" i="204"/>
  <c r="AC40" i="204"/>
  <c r="AA40" i="204"/>
  <c r="Z40" i="204"/>
  <c r="Y40" i="204"/>
  <c r="X40" i="204"/>
  <c r="W40" i="204"/>
  <c r="V40" i="204"/>
  <c r="AH39" i="204"/>
  <c r="AG39" i="204"/>
  <c r="AF39" i="204"/>
  <c r="AE39" i="204"/>
  <c r="AC39" i="204"/>
  <c r="AA39" i="204"/>
  <c r="Z39" i="204"/>
  <c r="Y39" i="204"/>
  <c r="X39" i="204"/>
  <c r="W39" i="204"/>
  <c r="V39" i="204"/>
  <c r="AH38" i="204"/>
  <c r="AG38" i="204"/>
  <c r="AF38" i="204"/>
  <c r="AE38" i="204"/>
  <c r="AC38" i="204"/>
  <c r="AA38" i="204"/>
  <c r="Z38" i="204"/>
  <c r="Y38" i="204"/>
  <c r="X38" i="204"/>
  <c r="W38" i="204"/>
  <c r="V38" i="204"/>
  <c r="AH37" i="204"/>
  <c r="AG37" i="204"/>
  <c r="AF37" i="204"/>
  <c r="AE37" i="204"/>
  <c r="AC37" i="204"/>
  <c r="AA37" i="204"/>
  <c r="Z37" i="204"/>
  <c r="Y37" i="204"/>
  <c r="X37" i="204"/>
  <c r="W37" i="204"/>
  <c r="V37" i="204"/>
  <c r="AH36" i="204"/>
  <c r="AG36" i="204"/>
  <c r="AF36" i="204"/>
  <c r="AE36" i="204"/>
  <c r="AC36" i="204"/>
  <c r="AA36" i="204"/>
  <c r="Z36" i="204"/>
  <c r="Y36" i="204"/>
  <c r="X36" i="204"/>
  <c r="W36" i="204"/>
  <c r="V36" i="204"/>
  <c r="AH35" i="204"/>
  <c r="AG35" i="204"/>
  <c r="AF35" i="204"/>
  <c r="AE35" i="204"/>
  <c r="AC35" i="204"/>
  <c r="AA35" i="204"/>
  <c r="Z35" i="204"/>
  <c r="Y35" i="204"/>
  <c r="X35" i="204"/>
  <c r="W35" i="204"/>
  <c r="V35" i="204"/>
  <c r="AH34" i="204"/>
  <c r="AG34" i="204"/>
  <c r="AF34" i="204"/>
  <c r="AE34" i="204"/>
  <c r="AC34" i="204"/>
  <c r="AA34" i="204"/>
  <c r="Z34" i="204"/>
  <c r="Y34" i="204"/>
  <c r="X34" i="204"/>
  <c r="W34" i="204"/>
  <c r="V34" i="204"/>
  <c r="AH33" i="204"/>
  <c r="AG33" i="204"/>
  <c r="AF33" i="204"/>
  <c r="AE33" i="204"/>
  <c r="AC33" i="204"/>
  <c r="AA33" i="204"/>
  <c r="Z33" i="204"/>
  <c r="Y33" i="204"/>
  <c r="X33" i="204"/>
  <c r="W33" i="204"/>
  <c r="V33" i="204"/>
  <c r="AH32" i="204"/>
  <c r="AG32" i="204"/>
  <c r="AF32" i="204"/>
  <c r="AE32" i="204"/>
  <c r="AC32" i="204"/>
  <c r="AA32" i="204"/>
  <c r="Z32" i="204"/>
  <c r="Y32" i="204"/>
  <c r="X32" i="204"/>
  <c r="W32" i="204"/>
  <c r="V32" i="204"/>
  <c r="AH23" i="204"/>
  <c r="AG23" i="204"/>
  <c r="AF23" i="204"/>
  <c r="AE23" i="204"/>
  <c r="AC23" i="204"/>
  <c r="AA23" i="204"/>
  <c r="Z23" i="204"/>
  <c r="Y23" i="204"/>
  <c r="X23" i="204"/>
  <c r="W23" i="204"/>
  <c r="V23" i="204"/>
  <c r="AH22" i="204"/>
  <c r="AG22" i="204"/>
  <c r="AF22" i="204"/>
  <c r="AE22" i="204"/>
  <c r="AC22" i="204"/>
  <c r="AA22" i="204"/>
  <c r="Z22" i="204"/>
  <c r="Y22" i="204"/>
  <c r="X22" i="204"/>
  <c r="W22" i="204"/>
  <c r="V22" i="204"/>
  <c r="AH21" i="204"/>
  <c r="AG21" i="204"/>
  <c r="AF21" i="204"/>
  <c r="AE21" i="204"/>
  <c r="AC21" i="204"/>
  <c r="AA21" i="204"/>
  <c r="Z21" i="204"/>
  <c r="Y21" i="204"/>
  <c r="X21" i="204"/>
  <c r="W21" i="204"/>
  <c r="V21" i="204"/>
  <c r="AH20" i="204"/>
  <c r="AG20" i="204"/>
  <c r="AF20" i="204"/>
  <c r="AE20" i="204"/>
  <c r="AC20" i="204"/>
  <c r="AA20" i="204"/>
  <c r="Z20" i="204"/>
  <c r="Y20" i="204"/>
  <c r="X20" i="204"/>
  <c r="W20" i="204"/>
  <c r="V20" i="204"/>
  <c r="AH19" i="204"/>
  <c r="AG19" i="204"/>
  <c r="AF19" i="204"/>
  <c r="AE19" i="204"/>
  <c r="AC19" i="204"/>
  <c r="AA19" i="204"/>
  <c r="Z19" i="204"/>
  <c r="Y19" i="204"/>
  <c r="X19" i="204"/>
  <c r="W19" i="204"/>
  <c r="V19" i="204"/>
  <c r="AH18" i="204"/>
  <c r="AG18" i="204"/>
  <c r="AF18" i="204"/>
  <c r="AE18" i="204"/>
  <c r="AC18" i="204"/>
  <c r="AA18" i="204"/>
  <c r="Z18" i="204"/>
  <c r="Y18" i="204"/>
  <c r="X18" i="204"/>
  <c r="W18" i="204"/>
  <c r="V18" i="204"/>
  <c r="AH17" i="204"/>
  <c r="AG17" i="204"/>
  <c r="AF17" i="204"/>
  <c r="AE17" i="204"/>
  <c r="AC17" i="204"/>
  <c r="AA17" i="204"/>
  <c r="Z17" i="204"/>
  <c r="Y17" i="204"/>
  <c r="X17" i="204"/>
  <c r="W17" i="204"/>
  <c r="V17" i="204"/>
  <c r="AH16" i="204"/>
  <c r="AG16" i="204"/>
  <c r="AF16" i="204"/>
  <c r="AE16" i="204"/>
  <c r="AC16" i="204"/>
  <c r="AA16" i="204"/>
  <c r="Z16" i="204"/>
  <c r="Y16" i="204"/>
  <c r="X16" i="204"/>
  <c r="W16" i="204"/>
  <c r="V16" i="204"/>
  <c r="AH31" i="204"/>
  <c r="AG31" i="204"/>
  <c r="AF31" i="204"/>
  <c r="AE31" i="204"/>
  <c r="AC31" i="204"/>
  <c r="AA31" i="204"/>
  <c r="Z31" i="204"/>
  <c r="Y31" i="204"/>
  <c r="X31" i="204"/>
  <c r="W31" i="204"/>
  <c r="V31" i="204"/>
  <c r="AH30" i="204"/>
  <c r="AG30" i="204"/>
  <c r="AF30" i="204"/>
  <c r="AE30" i="204"/>
  <c r="AC30" i="204"/>
  <c r="AA30" i="204"/>
  <c r="Z30" i="204"/>
  <c r="Y30" i="204"/>
  <c r="X30" i="204"/>
  <c r="W30" i="204"/>
  <c r="V30" i="204"/>
  <c r="AH29" i="204"/>
  <c r="AG29" i="204"/>
  <c r="AF29" i="204"/>
  <c r="AE29" i="204"/>
  <c r="AC29" i="204"/>
  <c r="AA29" i="204"/>
  <c r="Z29" i="204"/>
  <c r="Y29" i="204"/>
  <c r="X29" i="204"/>
  <c r="W29" i="204"/>
  <c r="V29" i="204"/>
  <c r="AH28" i="204"/>
  <c r="AG28" i="204"/>
  <c r="AF28" i="204"/>
  <c r="AE28" i="204"/>
  <c r="AC28" i="204"/>
  <c r="AA28" i="204"/>
  <c r="Z28" i="204"/>
  <c r="Y28" i="204"/>
  <c r="X28" i="204"/>
  <c r="W28" i="204"/>
  <c r="V28" i="204"/>
  <c r="AH27" i="204"/>
  <c r="AG27" i="204"/>
  <c r="AF27" i="204"/>
  <c r="AE27" i="204"/>
  <c r="AC27" i="204"/>
  <c r="AA27" i="204"/>
  <c r="Z27" i="204"/>
  <c r="Y27" i="204"/>
  <c r="X27" i="204"/>
  <c r="W27" i="204"/>
  <c r="V27" i="204"/>
  <c r="AH26" i="204"/>
  <c r="AG26" i="204"/>
  <c r="AF26" i="204"/>
  <c r="AE26" i="204"/>
  <c r="AC26" i="204"/>
  <c r="AA26" i="204"/>
  <c r="Z26" i="204"/>
  <c r="Y26" i="204"/>
  <c r="X26" i="204"/>
  <c r="W26" i="204"/>
  <c r="V26" i="204"/>
  <c r="AH25" i="204"/>
  <c r="AG25" i="204"/>
  <c r="AF25" i="204"/>
  <c r="AE25" i="204"/>
  <c r="AC25" i="204"/>
  <c r="AA25" i="204"/>
  <c r="Z25" i="204"/>
  <c r="Y25" i="204"/>
  <c r="X25" i="204"/>
  <c r="W25" i="204"/>
  <c r="V25" i="204"/>
  <c r="AH24" i="204"/>
  <c r="AG24" i="204"/>
  <c r="AF24" i="204"/>
  <c r="AE24" i="204"/>
  <c r="AC24" i="204"/>
  <c r="AA24" i="204"/>
  <c r="Z24" i="204"/>
  <c r="Y24" i="204"/>
  <c r="X24" i="204"/>
  <c r="W24" i="204"/>
  <c r="V24" i="204"/>
  <c r="H30" i="169" l="1"/>
  <c r="F52" i="143"/>
  <c r="E177" i="169"/>
  <c r="E187" i="169" s="1"/>
  <c r="J20" i="203"/>
  <c r="G22" i="169"/>
  <c r="K17" i="203"/>
  <c r="L17" i="203"/>
  <c r="M17" i="203"/>
  <c r="N17" i="203"/>
  <c r="K18" i="203"/>
  <c r="L18" i="203"/>
  <c r="M18" i="203"/>
  <c r="N18" i="203"/>
  <c r="K19" i="203"/>
  <c r="L19" i="203"/>
  <c r="M19" i="203"/>
  <c r="N19" i="203"/>
  <c r="K21" i="203"/>
  <c r="L21" i="203"/>
  <c r="M21" i="203"/>
  <c r="N21" i="203"/>
  <c r="K22" i="203"/>
  <c r="L22" i="203"/>
  <c r="M22" i="203"/>
  <c r="N22" i="203"/>
  <c r="K23" i="203"/>
  <c r="L23" i="203"/>
  <c r="M23" i="203"/>
  <c r="N23" i="203"/>
  <c r="K24" i="203"/>
  <c r="L24" i="203"/>
  <c r="M24" i="203"/>
  <c r="N24" i="203"/>
  <c r="K25" i="203"/>
  <c r="L25" i="203"/>
  <c r="M25" i="203"/>
  <c r="N25" i="203"/>
  <c r="K26" i="203"/>
  <c r="L26" i="203"/>
  <c r="M26" i="203"/>
  <c r="N26" i="203"/>
  <c r="N16" i="203"/>
  <c r="M16" i="203"/>
  <c r="L16" i="203"/>
  <c r="K16" i="203"/>
  <c r="F199" i="169"/>
  <c r="F198" i="169"/>
  <c r="F196" i="169"/>
  <c r="F195" i="169"/>
  <c r="F194" i="169"/>
  <c r="F193" i="169"/>
  <c r="F192" i="169"/>
  <c r="F191" i="169"/>
  <c r="E199" i="169"/>
  <c r="E198" i="169"/>
  <c r="E197" i="169"/>
  <c r="E196" i="169"/>
  <c r="E195" i="169"/>
  <c r="E194" i="169"/>
  <c r="E193" i="169"/>
  <c r="E192" i="169"/>
  <c r="E191" i="169"/>
  <c r="E67" i="190"/>
  <c r="F67" i="190" s="1"/>
  <c r="G39" i="169"/>
  <c r="G38" i="169"/>
  <c r="G37" i="169"/>
  <c r="G36" i="169"/>
  <c r="G35" i="169"/>
  <c r="G34" i="169"/>
  <c r="G33" i="169"/>
  <c r="G32" i="169"/>
  <c r="G31" i="169"/>
  <c r="G40" i="169"/>
  <c r="H29" i="169"/>
  <c r="H28" i="169"/>
  <c r="H27" i="169"/>
  <c r="H26" i="169"/>
  <c r="H25" i="169"/>
  <c r="H24" i="169"/>
  <c r="H23" i="169"/>
  <c r="H21" i="169"/>
  <c r="H20" i="169"/>
  <c r="H19" i="169"/>
  <c r="H18" i="169"/>
  <c r="H17" i="169"/>
  <c r="A26" i="143"/>
  <c r="A19" i="143"/>
  <c r="A3" i="209"/>
  <c r="A3" i="206"/>
  <c r="A3" i="202"/>
  <c r="F59" i="143"/>
  <c r="E20" i="208"/>
  <c r="F11" i="207"/>
  <c r="G50" i="210"/>
  <c r="E7" i="210"/>
  <c r="F15" i="209"/>
  <c r="E31" i="203"/>
  <c r="H36" i="202"/>
  <c r="P16" i="146"/>
  <c r="AA15" i="204"/>
  <c r="Z15" i="204"/>
  <c r="Y15" i="204"/>
  <c r="X15" i="204"/>
  <c r="W15" i="204"/>
  <c r="V15" i="204"/>
  <c r="AC15" i="204"/>
  <c r="AE15" i="204"/>
  <c r="AF15" i="204"/>
  <c r="AH15" i="204"/>
  <c r="AG15" i="204"/>
  <c r="A15" i="204"/>
  <c r="N431" i="204"/>
  <c r="M431" i="204"/>
  <c r="K431" i="204"/>
  <c r="J431" i="204"/>
  <c r="N422" i="204" s="1"/>
  <c r="A431" i="204"/>
  <c r="E86" i="194"/>
  <c r="A3" i="210"/>
  <c r="A50" i="210"/>
  <c r="A49" i="210"/>
  <c r="A48" i="210"/>
  <c r="A47" i="210"/>
  <c r="A46" i="210"/>
  <c r="F37" i="210"/>
  <c r="E37" i="210"/>
  <c r="A38" i="210"/>
  <c r="A37" i="210"/>
  <c r="A33" i="210"/>
  <c r="A32" i="210"/>
  <c r="A31" i="210"/>
  <c r="A30" i="210"/>
  <c r="E20" i="210"/>
  <c r="A21" i="210"/>
  <c r="A20" i="210"/>
  <c r="F2" i="210"/>
  <c r="A14" i="210"/>
  <c r="A33" i="211"/>
  <c r="A13" i="211"/>
  <c r="R2" i="211"/>
  <c r="Q2" i="211"/>
  <c r="P2" i="211"/>
  <c r="O2" i="211"/>
  <c r="N2" i="211"/>
  <c r="M2" i="211"/>
  <c r="L2" i="211"/>
  <c r="K2" i="211"/>
  <c r="J2" i="211"/>
  <c r="I2" i="211"/>
  <c r="H2" i="211"/>
  <c r="G2" i="211"/>
  <c r="F2" i="211"/>
  <c r="A3" i="211"/>
  <c r="E53" i="209"/>
  <c r="E28" i="209"/>
  <c r="A63" i="209"/>
  <c r="A62" i="209"/>
  <c r="A54" i="209"/>
  <c r="A53" i="209"/>
  <c r="A49" i="209"/>
  <c r="A48" i="209"/>
  <c r="A47" i="209"/>
  <c r="A46" i="209"/>
  <c r="A45" i="209"/>
  <c r="A44" i="209"/>
  <c r="A43" i="209"/>
  <c r="A42" i="209"/>
  <c r="A41" i="209"/>
  <c r="A40" i="209"/>
  <c r="A39" i="209"/>
  <c r="A38" i="209"/>
  <c r="A29" i="209"/>
  <c r="A28" i="209"/>
  <c r="A14" i="209"/>
  <c r="A3" i="208"/>
  <c r="A13" i="208"/>
  <c r="J2" i="208"/>
  <c r="H2" i="208"/>
  <c r="G2" i="208"/>
  <c r="F2" i="208"/>
  <c r="A19" i="207"/>
  <c r="A18" i="207"/>
  <c r="A17" i="207"/>
  <c r="A16" i="207"/>
  <c r="A15" i="207"/>
  <c r="A13" i="207"/>
  <c r="A12" i="207"/>
  <c r="A11" i="207"/>
  <c r="A3" i="207"/>
  <c r="E2" i="207"/>
  <c r="G25" i="206"/>
  <c r="F25" i="206"/>
  <c r="E25" i="206"/>
  <c r="H2" i="206"/>
  <c r="G2" i="206"/>
  <c r="F2" i="206"/>
  <c r="E2" i="206"/>
  <c r="A44" i="206"/>
  <c r="A43" i="206"/>
  <c r="A42" i="206"/>
  <c r="A41" i="206"/>
  <c r="A39" i="206"/>
  <c r="A38" i="206"/>
  <c r="A37" i="206"/>
  <c r="A25" i="206"/>
  <c r="A3" i="204"/>
  <c r="I419" i="204"/>
  <c r="H419" i="204"/>
  <c r="G419" i="204"/>
  <c r="F419" i="204"/>
  <c r="D419" i="204"/>
  <c r="C419" i="204"/>
  <c r="B419" i="204"/>
  <c r="E419" i="204"/>
  <c r="A420" i="204"/>
  <c r="A419" i="204"/>
  <c r="U2" i="204"/>
  <c r="T2" i="204"/>
  <c r="S2" i="204"/>
  <c r="R2" i="204"/>
  <c r="Q2" i="204"/>
  <c r="P2" i="204"/>
  <c r="O2" i="204"/>
  <c r="N2" i="204"/>
  <c r="M2" i="204"/>
  <c r="L2" i="204"/>
  <c r="K2" i="204"/>
  <c r="J2" i="204"/>
  <c r="I2" i="204"/>
  <c r="H2" i="204"/>
  <c r="G2" i="204"/>
  <c r="F2" i="204"/>
  <c r="D2" i="204"/>
  <c r="C2" i="204"/>
  <c r="B2" i="204"/>
  <c r="E2" i="204"/>
  <c r="I43" i="203"/>
  <c r="G43" i="203"/>
  <c r="F43" i="203"/>
  <c r="E43" i="203"/>
  <c r="G19" i="202"/>
  <c r="F19" i="202"/>
  <c r="E19" i="202"/>
  <c r="A61" i="203"/>
  <c r="A60" i="203"/>
  <c r="A59" i="203"/>
  <c r="A58" i="203"/>
  <c r="A57" i="203"/>
  <c r="A56" i="203"/>
  <c r="A55" i="203"/>
  <c r="A54" i="203"/>
  <c r="A43" i="202"/>
  <c r="A42" i="202"/>
  <c r="A40" i="202"/>
  <c r="A39" i="202"/>
  <c r="A38" i="202"/>
  <c r="A37" i="202"/>
  <c r="A36" i="202"/>
  <c r="A35" i="202"/>
  <c r="A34" i="202"/>
  <c r="A33" i="202"/>
  <c r="A32" i="202"/>
  <c r="A31" i="202"/>
  <c r="A30" i="202"/>
  <c r="A3" i="203"/>
  <c r="A44" i="203"/>
  <c r="A43" i="203"/>
  <c r="I2" i="203"/>
  <c r="H2" i="203"/>
  <c r="G2" i="203"/>
  <c r="F2" i="203"/>
  <c r="E2" i="203"/>
  <c r="A20" i="202"/>
  <c r="K2" i="202"/>
  <c r="J2" i="202"/>
  <c r="I2" i="202"/>
  <c r="H2" i="202"/>
  <c r="G2" i="202"/>
  <c r="F2" i="202"/>
  <c r="E2" i="202"/>
  <c r="A19" i="202"/>
  <c r="A32" i="211"/>
  <c r="A31" i="211"/>
  <c r="A30" i="211"/>
  <c r="A29" i="211"/>
  <c r="A28" i="211"/>
  <c r="A27" i="211"/>
  <c r="A26" i="211"/>
  <c r="A25" i="211"/>
  <c r="A24" i="211"/>
  <c r="A23" i="211"/>
  <c r="A22" i="211"/>
  <c r="A21" i="211"/>
  <c r="A20" i="211"/>
  <c r="A19" i="211"/>
  <c r="A18" i="211"/>
  <c r="A17" i="211"/>
  <c r="A16" i="211"/>
  <c r="A15" i="211"/>
  <c r="A14" i="211"/>
  <c r="A2" i="211"/>
  <c r="A16" i="210"/>
  <c r="A15" i="210"/>
  <c r="A2" i="210"/>
  <c r="A24" i="209"/>
  <c r="A23" i="209"/>
  <c r="A22" i="209"/>
  <c r="A21" i="209"/>
  <c r="A20" i="209"/>
  <c r="A19" i="209"/>
  <c r="A18" i="209"/>
  <c r="A17" i="209"/>
  <c r="A16" i="209"/>
  <c r="A15" i="209"/>
  <c r="A2" i="209"/>
  <c r="A19" i="208"/>
  <c r="A18" i="208"/>
  <c r="A17" i="208"/>
  <c r="A16" i="208"/>
  <c r="A15" i="208"/>
  <c r="A14" i="208"/>
  <c r="A2" i="208"/>
  <c r="A14" i="207"/>
  <c r="A2" i="207"/>
  <c r="A21" i="206"/>
  <c r="A20" i="206"/>
  <c r="A19" i="206"/>
  <c r="A18" i="206"/>
  <c r="A2" i="206"/>
  <c r="A2" i="204"/>
  <c r="A27" i="203"/>
  <c r="A26" i="203"/>
  <c r="A25" i="203"/>
  <c r="A24" i="203"/>
  <c r="A23" i="203"/>
  <c r="A22" i="203"/>
  <c r="A21" i="203"/>
  <c r="A20" i="203"/>
  <c r="A19" i="203"/>
  <c r="A18" i="203"/>
  <c r="A17" i="203"/>
  <c r="A16" i="203"/>
  <c r="A15" i="203"/>
  <c r="A2" i="203"/>
  <c r="A14" i="202"/>
  <c r="A2" i="202"/>
  <c r="E2" i="211"/>
  <c r="E2" i="210"/>
  <c r="E2" i="209"/>
  <c r="E2" i="208"/>
  <c r="K44" i="206"/>
  <c r="J44" i="206"/>
  <c r="I44" i="206"/>
  <c r="K43" i="206"/>
  <c r="J43" i="206"/>
  <c r="I43" i="206"/>
  <c r="K42" i="206"/>
  <c r="J42" i="206"/>
  <c r="I42" i="206"/>
  <c r="K39" i="206"/>
  <c r="J39" i="206"/>
  <c r="I39" i="206"/>
  <c r="K38" i="206"/>
  <c r="J38" i="206"/>
  <c r="I38" i="206"/>
  <c r="L21" i="206"/>
  <c r="K21" i="206"/>
  <c r="J21" i="206"/>
  <c r="L20" i="206"/>
  <c r="K20" i="206"/>
  <c r="J20" i="206"/>
  <c r="L19" i="206"/>
  <c r="K19" i="206"/>
  <c r="J19" i="206"/>
  <c r="I40" i="202"/>
  <c r="A71" i="186"/>
  <c r="A70" i="186"/>
  <c r="A69" i="186"/>
  <c r="A68" i="186"/>
  <c r="A67" i="186"/>
  <c r="A66" i="186"/>
  <c r="A65" i="186"/>
  <c r="A64" i="186"/>
  <c r="A63" i="186"/>
  <c r="A62" i="186"/>
  <c r="A61" i="186"/>
  <c r="A60" i="186"/>
  <c r="A59" i="186"/>
  <c r="A58" i="186"/>
  <c r="A57" i="186"/>
  <c r="A56" i="186"/>
  <c r="G35" i="211"/>
  <c r="F35" i="211"/>
  <c r="E35" i="211"/>
  <c r="G36" i="211"/>
  <c r="F37" i="211"/>
  <c r="T13" i="211"/>
  <c r="S13" i="211"/>
  <c r="H49" i="210"/>
  <c r="G49" i="210"/>
  <c r="H48" i="210"/>
  <c r="G48" i="210"/>
  <c r="H47" i="210"/>
  <c r="G47" i="210"/>
  <c r="H46" i="210"/>
  <c r="G46" i="210"/>
  <c r="G63" i="209"/>
  <c r="G62" i="209"/>
  <c r="G45" i="209"/>
  <c r="G24" i="209"/>
  <c r="G22" i="209"/>
  <c r="G21" i="209"/>
  <c r="G20" i="209"/>
  <c r="G19" i="209"/>
  <c r="G18" i="209"/>
  <c r="G17" i="209"/>
  <c r="G16" i="209"/>
  <c r="G15" i="209"/>
  <c r="J21" i="208"/>
  <c r="H21" i="208"/>
  <c r="G21" i="208"/>
  <c r="F21" i="208"/>
  <c r="E21" i="208"/>
  <c r="J20" i="208"/>
  <c r="H20" i="208"/>
  <c r="G20" i="208"/>
  <c r="F20" i="208"/>
  <c r="F19" i="207"/>
  <c r="F18" i="207"/>
  <c r="F17" i="207"/>
  <c r="F16" i="207"/>
  <c r="F15" i="207"/>
  <c r="F13" i="207"/>
  <c r="F12" i="207"/>
  <c r="K41" i="206"/>
  <c r="J41" i="206"/>
  <c r="I41" i="206"/>
  <c r="K37" i="206"/>
  <c r="J37" i="206"/>
  <c r="I37" i="206"/>
  <c r="I21" i="206"/>
  <c r="I19" i="206"/>
  <c r="L18" i="206"/>
  <c r="K18" i="206"/>
  <c r="J18" i="206"/>
  <c r="N58" i="203"/>
  <c r="M58" i="203"/>
  <c r="L58" i="203"/>
  <c r="K58" i="203"/>
  <c r="J58" i="203"/>
  <c r="N57" i="203"/>
  <c r="M57" i="203"/>
  <c r="L57" i="203"/>
  <c r="K57" i="203"/>
  <c r="J57" i="203"/>
  <c r="N56" i="203"/>
  <c r="M56" i="203"/>
  <c r="L56" i="203"/>
  <c r="K56" i="203"/>
  <c r="J56" i="203"/>
  <c r="N55" i="203"/>
  <c r="M55" i="203"/>
  <c r="L55" i="203"/>
  <c r="K55" i="203"/>
  <c r="J55" i="203"/>
  <c r="N54" i="203"/>
  <c r="M54" i="203"/>
  <c r="L54" i="203"/>
  <c r="K54" i="203"/>
  <c r="J54" i="203"/>
  <c r="I32" i="203"/>
  <c r="H32" i="203"/>
  <c r="G32" i="203"/>
  <c r="F32" i="203"/>
  <c r="N20" i="203"/>
  <c r="M20" i="203"/>
  <c r="L20" i="203"/>
  <c r="K20" i="203"/>
  <c r="I31" i="203"/>
  <c r="H31" i="203"/>
  <c r="G31" i="203"/>
  <c r="F31" i="203"/>
  <c r="K43" i="202"/>
  <c r="J43" i="202"/>
  <c r="I43" i="202"/>
  <c r="H43" i="202"/>
  <c r="K42" i="202"/>
  <c r="J42" i="202"/>
  <c r="I42" i="202"/>
  <c r="H42" i="202"/>
  <c r="K41" i="202"/>
  <c r="J40" i="202"/>
  <c r="H40" i="202"/>
  <c r="J39" i="202"/>
  <c r="I39" i="202"/>
  <c r="H39" i="202"/>
  <c r="J38" i="202"/>
  <c r="I38" i="202"/>
  <c r="H38" i="202"/>
  <c r="J37" i="202"/>
  <c r="I37" i="202"/>
  <c r="H37" i="202"/>
  <c r="J36" i="202"/>
  <c r="I36" i="202"/>
  <c r="J35" i="202"/>
  <c r="I35" i="202"/>
  <c r="H35" i="202"/>
  <c r="J34" i="202"/>
  <c r="I34" i="202"/>
  <c r="H34" i="202"/>
  <c r="J33" i="202"/>
  <c r="I33" i="202"/>
  <c r="H33" i="202"/>
  <c r="J32" i="202"/>
  <c r="I32" i="202"/>
  <c r="H32" i="202"/>
  <c r="J31" i="202"/>
  <c r="I31" i="202"/>
  <c r="H31" i="202"/>
  <c r="J30" i="202"/>
  <c r="K39" i="202"/>
  <c r="J17" i="202"/>
  <c r="H17" i="202"/>
  <c r="G17" i="202"/>
  <c r="E17" i="202"/>
  <c r="H15" i="202"/>
  <c r="I17" i="202"/>
  <c r="G15" i="202"/>
  <c r="A46" i="186"/>
  <c r="A2" i="186"/>
  <c r="A2" i="187"/>
  <c r="A85" i="172"/>
  <c r="A49" i="172"/>
  <c r="A2" i="172"/>
  <c r="A71" i="190"/>
  <c r="A54" i="190"/>
  <c r="A2" i="190"/>
  <c r="A167" i="169"/>
  <c r="A148" i="169"/>
  <c r="A127" i="169"/>
  <c r="A89" i="169"/>
  <c r="A66" i="169"/>
  <c r="A47" i="169"/>
  <c r="A2" i="169"/>
  <c r="A2" i="155"/>
  <c r="A2" i="153"/>
  <c r="A51" i="183"/>
  <c r="A2" i="183"/>
  <c r="A2" i="150"/>
  <c r="A2" i="178"/>
  <c r="A2" i="124"/>
  <c r="A42" i="146"/>
  <c r="A2" i="146"/>
  <c r="A67" i="145"/>
  <c r="A2" i="145"/>
  <c r="A2" i="152"/>
  <c r="A2" i="182"/>
  <c r="A2" i="126"/>
  <c r="A161" i="144"/>
  <c r="A129" i="144"/>
  <c r="A36" i="144"/>
  <c r="A2" i="144"/>
  <c r="A2" i="168"/>
  <c r="A2" i="143"/>
  <c r="A2" i="116"/>
  <c r="A2" i="141"/>
  <c r="A2" i="140"/>
  <c r="A47" i="186"/>
  <c r="E46" i="186"/>
  <c r="A42" i="186"/>
  <c r="A41" i="186"/>
  <c r="A40" i="186"/>
  <c r="A39" i="186"/>
  <c r="A38" i="186"/>
  <c r="A37" i="186"/>
  <c r="A36" i="186"/>
  <c r="A35" i="186"/>
  <c r="A34" i="186"/>
  <c r="A33" i="186"/>
  <c r="A32" i="186"/>
  <c r="A31" i="186"/>
  <c r="A30" i="186"/>
  <c r="A29" i="186"/>
  <c r="A28" i="186"/>
  <c r="A27" i="186"/>
  <c r="A26" i="186"/>
  <c r="A25" i="186"/>
  <c r="A24" i="186"/>
  <c r="A23" i="186"/>
  <c r="A22" i="186"/>
  <c r="A21" i="186"/>
  <c r="A20" i="186"/>
  <c r="A19" i="186"/>
  <c r="A18" i="186"/>
  <c r="A17" i="186"/>
  <c r="A16" i="186"/>
  <c r="A15" i="186"/>
  <c r="A14" i="186"/>
  <c r="A3" i="186"/>
  <c r="E2" i="186"/>
  <c r="A20" i="187"/>
  <c r="A19" i="187"/>
  <c r="A18" i="187"/>
  <c r="A17" i="187"/>
  <c r="A16" i="187"/>
  <c r="A15" i="187"/>
  <c r="A14" i="187"/>
  <c r="A13" i="187"/>
  <c r="A12" i="187"/>
  <c r="A3" i="187"/>
  <c r="E2" i="187"/>
  <c r="A86" i="172"/>
  <c r="F85" i="172"/>
  <c r="E85" i="172"/>
  <c r="N52" i="172"/>
  <c r="G51" i="172" s="1"/>
  <c r="E71" i="194" s="1"/>
  <c r="A50" i="172"/>
  <c r="F49" i="172"/>
  <c r="E49" i="172"/>
  <c r="A126" i="172"/>
  <c r="A125" i="172"/>
  <c r="A124" i="172"/>
  <c r="A123" i="172"/>
  <c r="A122" i="172"/>
  <c r="A121" i="172"/>
  <c r="A120" i="172"/>
  <c r="A119" i="172"/>
  <c r="A118" i="172"/>
  <c r="A117" i="172"/>
  <c r="A116" i="172"/>
  <c r="A113" i="172"/>
  <c r="A112" i="172"/>
  <c r="A111" i="172"/>
  <c r="A110" i="172"/>
  <c r="A109" i="172"/>
  <c r="A108" i="172"/>
  <c r="A107" i="172"/>
  <c r="A106" i="172"/>
  <c r="A105" i="172"/>
  <c r="A103" i="172"/>
  <c r="A102" i="172"/>
  <c r="A101" i="172"/>
  <c r="A100" i="172"/>
  <c r="A99" i="172"/>
  <c r="A98" i="172"/>
  <c r="A97" i="172"/>
  <c r="A96" i="172"/>
  <c r="A81" i="172"/>
  <c r="A80" i="172"/>
  <c r="A79" i="172"/>
  <c r="A78" i="172"/>
  <c r="A77" i="172"/>
  <c r="A76" i="172"/>
  <c r="A75" i="172"/>
  <c r="A74" i="172"/>
  <c r="A73" i="172"/>
  <c r="A72" i="172"/>
  <c r="A71" i="172"/>
  <c r="A70" i="172"/>
  <c r="A69" i="172"/>
  <c r="A68" i="172"/>
  <c r="A67" i="172"/>
  <c r="A66" i="172"/>
  <c r="A65" i="172"/>
  <c r="A64" i="172"/>
  <c r="A63" i="172"/>
  <c r="A62" i="172"/>
  <c r="A61" i="172"/>
  <c r="A60" i="172"/>
  <c r="A46" i="172"/>
  <c r="A45" i="172"/>
  <c r="A44" i="172"/>
  <c r="A43" i="172"/>
  <c r="A42" i="172"/>
  <c r="A41" i="172"/>
  <c r="A40" i="172"/>
  <c r="A39" i="172"/>
  <c r="A38" i="172"/>
  <c r="A30" i="172"/>
  <c r="A29" i="172"/>
  <c r="A23" i="172"/>
  <c r="A22" i="172"/>
  <c r="A21" i="172"/>
  <c r="A20" i="172"/>
  <c r="A19" i="172"/>
  <c r="A18" i="172"/>
  <c r="A17" i="172"/>
  <c r="A16" i="172"/>
  <c r="A15" i="172"/>
  <c r="A3" i="172"/>
  <c r="G4" i="172"/>
  <c r="E70" i="194" s="1"/>
  <c r="F2" i="172"/>
  <c r="E2" i="172"/>
  <c r="A72" i="190"/>
  <c r="E71" i="190"/>
  <c r="A55" i="190"/>
  <c r="E54" i="190"/>
  <c r="A119" i="190"/>
  <c r="A118" i="190"/>
  <c r="A117" i="190"/>
  <c r="A116" i="190"/>
  <c r="A115" i="190"/>
  <c r="A114" i="190"/>
  <c r="A113" i="190"/>
  <c r="A112" i="190"/>
  <c r="A111" i="190"/>
  <c r="A110" i="190"/>
  <c r="A109" i="190"/>
  <c r="A108" i="190"/>
  <c r="A107" i="190"/>
  <c r="A106" i="190"/>
  <c r="A105" i="190"/>
  <c r="A104" i="190"/>
  <c r="A103" i="190"/>
  <c r="A102" i="190"/>
  <c r="A101" i="190"/>
  <c r="A100" i="190"/>
  <c r="A99" i="190"/>
  <c r="A98" i="190"/>
  <c r="A97" i="190"/>
  <c r="A96" i="190"/>
  <c r="A95" i="190"/>
  <c r="A94" i="190"/>
  <c r="A93" i="190"/>
  <c r="A92" i="190"/>
  <c r="A91" i="190"/>
  <c r="A90" i="190"/>
  <c r="A89" i="190"/>
  <c r="A88" i="190"/>
  <c r="A87" i="190"/>
  <c r="A86" i="190"/>
  <c r="A85" i="190"/>
  <c r="A84" i="190"/>
  <c r="A83" i="190"/>
  <c r="A82" i="190"/>
  <c r="A81" i="190"/>
  <c r="A67" i="190"/>
  <c r="A66" i="190"/>
  <c r="A65" i="190"/>
  <c r="A64" i="190"/>
  <c r="A50" i="190"/>
  <c r="A49" i="190"/>
  <c r="A48" i="190"/>
  <c r="A47" i="190"/>
  <c r="A46" i="190"/>
  <c r="A45" i="190"/>
  <c r="A44" i="190"/>
  <c r="A43" i="190"/>
  <c r="A42" i="190"/>
  <c r="A14" i="190"/>
  <c r="A3" i="190"/>
  <c r="N5" i="190"/>
  <c r="G4" i="190" s="1"/>
  <c r="E63" i="194" s="1"/>
  <c r="E2" i="190"/>
  <c r="A168" i="169"/>
  <c r="F167" i="169"/>
  <c r="E167" i="169"/>
  <c r="N151" i="169"/>
  <c r="G150" i="169" s="1"/>
  <c r="E60" i="194" s="1"/>
  <c r="A149" i="169"/>
  <c r="E148" i="169"/>
  <c r="A128" i="169"/>
  <c r="F127" i="169"/>
  <c r="E127" i="169"/>
  <c r="A90" i="169"/>
  <c r="E89" i="169"/>
  <c r="A67" i="169"/>
  <c r="E66" i="169"/>
  <c r="A48" i="169"/>
  <c r="E47" i="169"/>
  <c r="A187" i="169"/>
  <c r="A186" i="169"/>
  <c r="A185" i="169"/>
  <c r="A184" i="169"/>
  <c r="A183" i="169"/>
  <c r="A182" i="169"/>
  <c r="A181" i="169"/>
  <c r="A180" i="169"/>
  <c r="A179" i="169"/>
  <c r="A178" i="169"/>
  <c r="A177" i="169"/>
  <c r="A163" i="169"/>
  <c r="A162" i="169"/>
  <c r="A161" i="169"/>
  <c r="A160" i="169"/>
  <c r="A159" i="169"/>
  <c r="A143" i="169"/>
  <c r="A142" i="169"/>
  <c r="A141" i="169"/>
  <c r="A140" i="169"/>
  <c r="A139" i="169"/>
  <c r="A138" i="169"/>
  <c r="A105" i="169"/>
  <c r="A104" i="169"/>
  <c r="A103" i="169"/>
  <c r="A102" i="169"/>
  <c r="A101" i="169"/>
  <c r="A100" i="169"/>
  <c r="A99" i="169"/>
  <c r="A85" i="169"/>
  <c r="A84" i="169"/>
  <c r="A83" i="169"/>
  <c r="A82" i="169"/>
  <c r="A81" i="169"/>
  <c r="A80" i="169"/>
  <c r="A79" i="169"/>
  <c r="A78" i="169"/>
  <c r="A76" i="169"/>
  <c r="A62" i="169"/>
  <c r="A61" i="169"/>
  <c r="A60" i="169"/>
  <c r="A59" i="169"/>
  <c r="A58" i="169"/>
  <c r="A57" i="169"/>
  <c r="A41" i="169"/>
  <c r="A40" i="169"/>
  <c r="A39" i="169"/>
  <c r="A38" i="169"/>
  <c r="A37" i="169"/>
  <c r="A36" i="169"/>
  <c r="A35" i="169"/>
  <c r="A34" i="169"/>
  <c r="A33" i="169"/>
  <c r="A32" i="169"/>
  <c r="A31" i="169"/>
  <c r="A30" i="169"/>
  <c r="A29" i="169"/>
  <c r="A28" i="169"/>
  <c r="A27" i="169"/>
  <c r="A26" i="169"/>
  <c r="A25" i="169"/>
  <c r="A24" i="169"/>
  <c r="A23" i="169"/>
  <c r="A22" i="169"/>
  <c r="A21" i="169"/>
  <c r="A20" i="169"/>
  <c r="A19" i="169"/>
  <c r="A18" i="169"/>
  <c r="A17" i="169"/>
  <c r="A14" i="169"/>
  <c r="F2" i="169"/>
  <c r="E2" i="169"/>
  <c r="A32" i="155"/>
  <c r="A24" i="155"/>
  <c r="A23" i="155"/>
  <c r="A22" i="155"/>
  <c r="A14" i="155"/>
  <c r="A3" i="155"/>
  <c r="O2" i="155"/>
  <c r="N2" i="155"/>
  <c r="M2" i="155"/>
  <c r="L2" i="155"/>
  <c r="K2" i="155"/>
  <c r="J2" i="155"/>
  <c r="I2" i="155"/>
  <c r="H2" i="155"/>
  <c r="G2" i="155"/>
  <c r="F2" i="155"/>
  <c r="E2" i="155"/>
  <c r="A42" i="153"/>
  <c r="A41" i="153"/>
  <c r="A40" i="153"/>
  <c r="A39" i="153"/>
  <c r="A38" i="153"/>
  <c r="A37" i="153"/>
  <c r="A36" i="153"/>
  <c r="A35" i="153"/>
  <c r="A34" i="153"/>
  <c r="A33" i="153"/>
  <c r="A32" i="153"/>
  <c r="A30" i="153"/>
  <c r="A25" i="153"/>
  <c r="A24" i="153"/>
  <c r="A23" i="153"/>
  <c r="A18" i="153"/>
  <c r="A17" i="153"/>
  <c r="A16" i="153"/>
  <c r="A15" i="153"/>
  <c r="A14" i="153"/>
  <c r="A3" i="153"/>
  <c r="L2" i="153"/>
  <c r="K2" i="153"/>
  <c r="J2" i="153"/>
  <c r="I2" i="153"/>
  <c r="H2" i="153"/>
  <c r="G2" i="153"/>
  <c r="F2" i="153"/>
  <c r="E2" i="153"/>
  <c r="A52" i="183"/>
  <c r="E51" i="183"/>
  <c r="A60" i="183"/>
  <c r="A47" i="183"/>
  <c r="A46" i="183"/>
  <c r="A45" i="183"/>
  <c r="A44" i="183"/>
  <c r="A43" i="183"/>
  <c r="A42" i="183"/>
  <c r="A19" i="183"/>
  <c r="A18" i="183"/>
  <c r="A17" i="183"/>
  <c r="A16" i="183"/>
  <c r="A3" i="183"/>
  <c r="I2" i="183"/>
  <c r="H2" i="183"/>
  <c r="G2" i="183"/>
  <c r="F2" i="183"/>
  <c r="E2" i="183"/>
  <c r="A64" i="150"/>
  <c r="A55" i="150"/>
  <c r="A49" i="150"/>
  <c r="A48" i="150"/>
  <c r="A44" i="150"/>
  <c r="A43" i="150"/>
  <c r="A42" i="150"/>
  <c r="A41" i="150"/>
  <c r="A40" i="150"/>
  <c r="A39" i="150"/>
  <c r="A38" i="150"/>
  <c r="A37" i="150"/>
  <c r="A36" i="150"/>
  <c r="A35" i="150"/>
  <c r="A34" i="150"/>
  <c r="A33" i="150"/>
  <c r="A32" i="150"/>
  <c r="A31" i="150"/>
  <c r="A28" i="150"/>
  <c r="A27" i="150"/>
  <c r="A26" i="150"/>
  <c r="A25" i="150"/>
  <c r="A24" i="150"/>
  <c r="A23" i="150"/>
  <c r="A22" i="150"/>
  <c r="A21" i="150"/>
  <c r="A20" i="150"/>
  <c r="A19" i="150"/>
  <c r="A18" i="150"/>
  <c r="A17" i="150"/>
  <c r="A16" i="150"/>
  <c r="A15" i="150"/>
  <c r="E2" i="150"/>
  <c r="A67" i="178"/>
  <c r="A66" i="178"/>
  <c r="A65" i="178"/>
  <c r="A64" i="178"/>
  <c r="A63" i="178"/>
  <c r="A62" i="178"/>
  <c r="A61" i="178"/>
  <c r="A60" i="178"/>
  <c r="A59" i="178"/>
  <c r="A58" i="178"/>
  <c r="A57" i="178"/>
  <c r="A56" i="178"/>
  <c r="A55" i="178"/>
  <c r="A54" i="178"/>
  <c r="A53" i="178"/>
  <c r="A52" i="178"/>
  <c r="A51" i="178"/>
  <c r="A50" i="178"/>
  <c r="A49" i="178"/>
  <c r="A48" i="178"/>
  <c r="A47" i="178"/>
  <c r="A46" i="178"/>
  <c r="A45" i="178"/>
  <c r="A44" i="178"/>
  <c r="A43" i="178"/>
  <c r="A42" i="178"/>
  <c r="A41" i="178"/>
  <c r="A40" i="178"/>
  <c r="A39" i="178"/>
  <c r="A38" i="178"/>
  <c r="A37" i="178"/>
  <c r="A36" i="178"/>
  <c r="A35" i="178"/>
  <c r="A34" i="178"/>
  <c r="A33" i="178"/>
  <c r="A32" i="178"/>
  <c r="A31" i="178"/>
  <c r="A30" i="178"/>
  <c r="A29" i="178"/>
  <c r="A28" i="178"/>
  <c r="A27" i="178"/>
  <c r="A26" i="178"/>
  <c r="A25" i="178"/>
  <c r="A24" i="178"/>
  <c r="A23" i="178"/>
  <c r="A22" i="178"/>
  <c r="A21" i="178"/>
  <c r="A20" i="178"/>
  <c r="A19" i="178"/>
  <c r="A18" i="178"/>
  <c r="A17" i="178"/>
  <c r="A16" i="178"/>
  <c r="A15" i="178"/>
  <c r="A3" i="178"/>
  <c r="H2" i="178"/>
  <c r="G2" i="178"/>
  <c r="F2" i="178"/>
  <c r="E2" i="178"/>
  <c r="A46" i="124"/>
  <c r="A45" i="124"/>
  <c r="A44" i="124"/>
  <c r="A43" i="124"/>
  <c r="A42" i="124"/>
  <c r="A41" i="124"/>
  <c r="A40" i="124"/>
  <c r="A39" i="124"/>
  <c r="A38" i="124"/>
  <c r="A37" i="124"/>
  <c r="A36" i="124"/>
  <c r="A35" i="124"/>
  <c r="A32" i="124"/>
  <c r="A31" i="124"/>
  <c r="A30" i="124"/>
  <c r="A29" i="124"/>
  <c r="A28" i="124"/>
  <c r="A27" i="124"/>
  <c r="A26" i="124"/>
  <c r="A25" i="124"/>
  <c r="A24" i="124"/>
  <c r="A23" i="124"/>
  <c r="A22" i="124"/>
  <c r="A21" i="124"/>
  <c r="A20" i="124"/>
  <c r="A19" i="124"/>
  <c r="A18" i="124"/>
  <c r="A17" i="124"/>
  <c r="A16" i="124"/>
  <c r="A15" i="124"/>
  <c r="A14" i="124"/>
  <c r="A3" i="124"/>
  <c r="H2" i="124"/>
  <c r="G2" i="124"/>
  <c r="F2" i="124"/>
  <c r="E2" i="124"/>
  <c r="A43" i="146"/>
  <c r="E42" i="146"/>
  <c r="A72" i="146"/>
  <c r="A71" i="146"/>
  <c r="A70" i="146"/>
  <c r="A69" i="146"/>
  <c r="A68" i="146"/>
  <c r="A67" i="146"/>
  <c r="A66" i="146"/>
  <c r="A65" i="146"/>
  <c r="A64" i="146"/>
  <c r="A63" i="146"/>
  <c r="A62" i="146"/>
  <c r="A61" i="146"/>
  <c r="A60" i="146"/>
  <c r="A59" i="146"/>
  <c r="A58" i="146"/>
  <c r="A57" i="146"/>
  <c r="A56" i="146"/>
  <c r="A55" i="146"/>
  <c r="A54" i="146"/>
  <c r="A53" i="146"/>
  <c r="A52" i="146"/>
  <c r="A38" i="146"/>
  <c r="A37" i="146"/>
  <c r="A36" i="146"/>
  <c r="A35" i="146"/>
  <c r="A34" i="146"/>
  <c r="A33" i="146"/>
  <c r="A32" i="146"/>
  <c r="A31" i="146"/>
  <c r="A30" i="146"/>
  <c r="A29" i="146"/>
  <c r="A28" i="146"/>
  <c r="A27" i="146"/>
  <c r="A26" i="146"/>
  <c r="A25" i="146"/>
  <c r="A24" i="146"/>
  <c r="A23" i="146"/>
  <c r="A22" i="146"/>
  <c r="A21" i="146"/>
  <c r="A20" i="146"/>
  <c r="A19" i="146"/>
  <c r="A18" i="146"/>
  <c r="A17" i="146"/>
  <c r="A16" i="146"/>
  <c r="A15" i="146"/>
  <c r="A3" i="146"/>
  <c r="E2" i="146"/>
  <c r="A68" i="145"/>
  <c r="F67" i="145"/>
  <c r="E67" i="145"/>
  <c r="A80" i="145"/>
  <c r="A79" i="145"/>
  <c r="A78" i="145"/>
  <c r="A63" i="145"/>
  <c r="A62" i="145"/>
  <c r="A61" i="145"/>
  <c r="A60" i="145"/>
  <c r="A59" i="145"/>
  <c r="A58" i="145"/>
  <c r="A57" i="145"/>
  <c r="A56" i="145"/>
  <c r="A55" i="145"/>
  <c r="A54" i="145"/>
  <c r="A53" i="145"/>
  <c r="A52" i="145"/>
  <c r="A51" i="145"/>
  <c r="A50" i="145"/>
  <c r="A45" i="145"/>
  <c r="A44" i="145"/>
  <c r="A43" i="145"/>
  <c r="A42" i="145"/>
  <c r="A41" i="145"/>
  <c r="A40" i="145"/>
  <c r="A39" i="145"/>
  <c r="A38" i="145"/>
  <c r="A37" i="145"/>
  <c r="A36" i="145"/>
  <c r="A35" i="145"/>
  <c r="A34" i="145"/>
  <c r="A33" i="145"/>
  <c r="A32" i="145"/>
  <c r="A31" i="145"/>
  <c r="A30" i="145"/>
  <c r="A29" i="145"/>
  <c r="A28" i="145"/>
  <c r="A27" i="145"/>
  <c r="A26" i="145"/>
  <c r="A25" i="145"/>
  <c r="A24" i="145"/>
  <c r="A23" i="145"/>
  <c r="A22" i="145"/>
  <c r="A21" i="145"/>
  <c r="A20" i="145"/>
  <c r="A19" i="145"/>
  <c r="A18" i="145"/>
  <c r="A17" i="145"/>
  <c r="A16" i="145"/>
  <c r="A15" i="145"/>
  <c r="A3" i="145"/>
  <c r="I2" i="145"/>
  <c r="H2" i="145"/>
  <c r="G2" i="145"/>
  <c r="F2" i="145"/>
  <c r="E2" i="145"/>
  <c r="A42" i="152"/>
  <c r="A41" i="152"/>
  <c r="A40" i="152"/>
  <c r="A39" i="152"/>
  <c r="A38" i="152"/>
  <c r="A37" i="152"/>
  <c r="A36" i="152"/>
  <c r="A35" i="152"/>
  <c r="A34" i="152"/>
  <c r="A33" i="152"/>
  <c r="A32" i="152"/>
  <c r="A31" i="152"/>
  <c r="A29" i="152"/>
  <c r="A28" i="152"/>
  <c r="A27" i="152"/>
  <c r="A26" i="152"/>
  <c r="A25" i="152"/>
  <c r="A24" i="152"/>
  <c r="A23" i="152"/>
  <c r="A22" i="152"/>
  <c r="A21" i="152"/>
  <c r="A20" i="152"/>
  <c r="A19" i="152"/>
  <c r="A18" i="152"/>
  <c r="A17" i="152"/>
  <c r="A16" i="152"/>
  <c r="A3" i="152"/>
  <c r="M2" i="152"/>
  <c r="L2" i="152"/>
  <c r="K2" i="152"/>
  <c r="J2" i="152"/>
  <c r="I2" i="152"/>
  <c r="H2" i="152"/>
  <c r="G2" i="152"/>
  <c r="F2" i="152"/>
  <c r="E2" i="152"/>
  <c r="A35" i="182"/>
  <c r="A34" i="182"/>
  <c r="A33" i="182"/>
  <c r="A32" i="182"/>
  <c r="A31" i="182"/>
  <c r="A30" i="182"/>
  <c r="A29" i="182"/>
  <c r="A28" i="182"/>
  <c r="A27" i="182"/>
  <c r="A25" i="182"/>
  <c r="A24" i="182"/>
  <c r="A23" i="182"/>
  <c r="A22" i="182"/>
  <c r="A21" i="182"/>
  <c r="A20" i="182"/>
  <c r="A19" i="182"/>
  <c r="A18" i="182"/>
  <c r="A17" i="182"/>
  <c r="A16" i="182"/>
  <c r="A3" i="182"/>
  <c r="G2" i="182"/>
  <c r="E2" i="182"/>
  <c r="A3" i="126"/>
  <c r="L2" i="126"/>
  <c r="K2" i="126"/>
  <c r="J2" i="126"/>
  <c r="I2" i="126"/>
  <c r="H2" i="126"/>
  <c r="G2" i="126"/>
  <c r="A27" i="126"/>
  <c r="A26" i="126"/>
  <c r="A25" i="126"/>
  <c r="A24" i="126"/>
  <c r="A23" i="126"/>
  <c r="A22" i="126"/>
  <c r="A21" i="126"/>
  <c r="A20" i="126"/>
  <c r="A19" i="126"/>
  <c r="A18" i="126"/>
  <c r="A17" i="126"/>
  <c r="A16" i="126"/>
  <c r="A15" i="126"/>
  <c r="A162" i="144"/>
  <c r="E161" i="144"/>
  <c r="A130" i="144"/>
  <c r="A37" i="144"/>
  <c r="A173" i="144"/>
  <c r="A172" i="144"/>
  <c r="A171" i="144"/>
  <c r="A32" i="144"/>
  <c r="A31" i="144"/>
  <c r="A30" i="144"/>
  <c r="A29" i="144"/>
  <c r="A28" i="144"/>
  <c r="A27" i="144"/>
  <c r="A26" i="144"/>
  <c r="A25" i="144"/>
  <c r="A24" i="144"/>
  <c r="A23" i="144"/>
  <c r="A22" i="144"/>
  <c r="A21" i="144"/>
  <c r="A20" i="144"/>
  <c r="A19" i="144"/>
  <c r="A18" i="144"/>
  <c r="A17" i="144"/>
  <c r="A16" i="144"/>
  <c r="A3" i="144"/>
  <c r="E2" i="144"/>
  <c r="A55" i="168"/>
  <c r="A54" i="168"/>
  <c r="A53" i="168"/>
  <c r="A52" i="168"/>
  <c r="A51" i="168"/>
  <c r="A50" i="168"/>
  <c r="A49" i="168"/>
  <c r="A48" i="168"/>
  <c r="A47" i="168"/>
  <c r="A46" i="168"/>
  <c r="A38" i="168"/>
  <c r="A37" i="168"/>
  <c r="A36" i="168"/>
  <c r="A35" i="168"/>
  <c r="A34" i="168"/>
  <c r="A33" i="168"/>
  <c r="A32" i="168"/>
  <c r="A31" i="168"/>
  <c r="A30" i="168"/>
  <c r="A29" i="168"/>
  <c r="A28" i="168"/>
  <c r="A27" i="168"/>
  <c r="A26" i="168"/>
  <c r="A25" i="168"/>
  <c r="A24" i="168"/>
  <c r="A18" i="168"/>
  <c r="A17" i="168"/>
  <c r="A16" i="168"/>
  <c r="A15" i="168"/>
  <c r="A14" i="168"/>
  <c r="A13" i="168"/>
  <c r="A12" i="168"/>
  <c r="A11" i="168"/>
  <c r="A3" i="168"/>
  <c r="E2" i="168"/>
  <c r="A83" i="143"/>
  <c r="A82" i="143"/>
  <c r="A81" i="143"/>
  <c r="A80" i="143"/>
  <c r="A79" i="143"/>
  <c r="A78" i="143"/>
  <c r="A77" i="143"/>
  <c r="A76" i="143"/>
  <c r="A75" i="143"/>
  <c r="A74" i="143"/>
  <c r="A73" i="143"/>
  <c r="A72" i="143"/>
  <c r="A71" i="143"/>
  <c r="A70" i="143"/>
  <c r="A69" i="143"/>
  <c r="A68" i="143"/>
  <c r="A67" i="143"/>
  <c r="A66" i="143"/>
  <c r="A65" i="143"/>
  <c r="A62" i="143"/>
  <c r="A61" i="143"/>
  <c r="A60" i="143"/>
  <c r="A59" i="143"/>
  <c r="A55" i="143"/>
  <c r="A54" i="143"/>
  <c r="A53" i="143"/>
  <c r="A52" i="143"/>
  <c r="A51" i="143"/>
  <c r="A50" i="143"/>
  <c r="A49" i="143"/>
  <c r="A48" i="143"/>
  <c r="A47" i="143"/>
  <c r="A46" i="143"/>
  <c r="A45" i="143"/>
  <c r="A44" i="143"/>
  <c r="A43" i="143"/>
  <c r="A42" i="143"/>
  <c r="A40" i="143"/>
  <c r="A39" i="143"/>
  <c r="A38" i="143"/>
  <c r="A35" i="143"/>
  <c r="A34" i="143"/>
  <c r="A33" i="143"/>
  <c r="A29" i="143"/>
  <c r="A28" i="143"/>
  <c r="A27" i="143"/>
  <c r="A25" i="143"/>
  <c r="A24" i="143"/>
  <c r="A23" i="143"/>
  <c r="A22" i="143"/>
  <c r="A21" i="143"/>
  <c r="A20" i="143"/>
  <c r="A18" i="143"/>
  <c r="A17" i="143"/>
  <c r="A14" i="143"/>
  <c r="A12" i="143"/>
  <c r="A11" i="143"/>
  <c r="A3" i="143"/>
  <c r="F2" i="143"/>
  <c r="A54" i="116"/>
  <c r="A53" i="116"/>
  <c r="A52" i="116"/>
  <c r="A51" i="116"/>
  <c r="A50" i="116"/>
  <c r="A49" i="116"/>
  <c r="A48" i="116"/>
  <c r="A47" i="116"/>
  <c r="A46" i="116"/>
  <c r="A45" i="116"/>
  <c r="A44" i="116"/>
  <c r="A43" i="116"/>
  <c r="A42" i="116"/>
  <c r="A41" i="116"/>
  <c r="A40" i="116"/>
  <c r="A35" i="116"/>
  <c r="A34" i="116"/>
  <c r="A28" i="116"/>
  <c r="A27" i="116"/>
  <c r="A26" i="116"/>
  <c r="A25" i="116"/>
  <c r="A24" i="116"/>
  <c r="A23" i="116"/>
  <c r="A22" i="116"/>
  <c r="A21" i="116"/>
  <c r="A20" i="116"/>
  <c r="A19" i="116"/>
  <c r="A18" i="116"/>
  <c r="A17" i="116"/>
  <c r="A16" i="116"/>
  <c r="A15" i="116"/>
  <c r="A14" i="116"/>
  <c r="A3" i="116"/>
  <c r="F2" i="116"/>
  <c r="A43" i="141"/>
  <c r="A42" i="141"/>
  <c r="A41" i="141"/>
  <c r="A40" i="141"/>
  <c r="A39" i="141"/>
  <c r="A38" i="141"/>
  <c r="A37" i="141"/>
  <c r="A36" i="141"/>
  <c r="A35" i="141"/>
  <c r="A34" i="141"/>
  <c r="A33" i="141"/>
  <c r="A32" i="141"/>
  <c r="A31" i="141"/>
  <c r="A30" i="141"/>
  <c r="A29" i="141"/>
  <c r="A28" i="141"/>
  <c r="A27" i="141"/>
  <c r="A26" i="141"/>
  <c r="A25" i="141"/>
  <c r="A24" i="141"/>
  <c r="A23" i="141"/>
  <c r="A22" i="141"/>
  <c r="A21" i="141"/>
  <c r="A20" i="141"/>
  <c r="A19" i="141"/>
  <c r="A18" i="141"/>
  <c r="A17" i="141"/>
  <c r="A16" i="141"/>
  <c r="A15" i="141"/>
  <c r="A14" i="141"/>
  <c r="A3" i="141"/>
  <c r="F2" i="141"/>
  <c r="A51" i="140"/>
  <c r="A50" i="140"/>
  <c r="A49" i="140"/>
  <c r="A48" i="140"/>
  <c r="A47" i="140"/>
  <c r="A46" i="140"/>
  <c r="A45" i="140"/>
  <c r="A44" i="140"/>
  <c r="A43" i="140"/>
  <c r="A42" i="140"/>
  <c r="A41" i="140"/>
  <c r="A40" i="140"/>
  <c r="A39" i="140"/>
  <c r="A38" i="140"/>
  <c r="A37" i="140"/>
  <c r="A29" i="140"/>
  <c r="A28" i="140"/>
  <c r="A27" i="140"/>
  <c r="A22" i="140"/>
  <c r="A21" i="140"/>
  <c r="A20" i="140"/>
  <c r="A19" i="140"/>
  <c r="A18" i="140"/>
  <c r="A17" i="140"/>
  <c r="A16" i="140"/>
  <c r="A15" i="140"/>
  <c r="A14" i="140"/>
  <c r="A3" i="140"/>
  <c r="F2" i="140"/>
  <c r="E4" i="194"/>
  <c r="D4" i="194"/>
  <c r="D3" i="194"/>
  <c r="A3" i="194"/>
  <c r="E163" i="169"/>
  <c r="E68" i="186"/>
  <c r="F68" i="186" s="1"/>
  <c r="E61" i="186"/>
  <c r="E72" i="186"/>
  <c r="E56" i="186"/>
  <c r="F56" i="186" s="1"/>
  <c r="E124" i="172"/>
  <c r="E126" i="172" s="1"/>
  <c r="N38" i="153"/>
  <c r="J21" i="183"/>
  <c r="K21" i="183"/>
  <c r="J22" i="183"/>
  <c r="F71" i="143"/>
  <c r="G18" i="141"/>
  <c r="F78" i="143"/>
  <c r="G177" i="169"/>
  <c r="F40" i="143"/>
  <c r="F42" i="143"/>
  <c r="J37" i="126"/>
  <c r="J35" i="126"/>
  <c r="L41" i="126"/>
  <c r="L40" i="126"/>
  <c r="L39" i="126"/>
  <c r="L38" i="126"/>
  <c r="L36" i="126"/>
  <c r="L35" i="126"/>
  <c r="L34" i="126"/>
  <c r="L33" i="126"/>
  <c r="L32" i="126"/>
  <c r="L31" i="126"/>
  <c r="L30" i="126"/>
  <c r="K39" i="126"/>
  <c r="K38" i="126"/>
  <c r="K37" i="126"/>
  <c r="K35" i="126"/>
  <c r="K34" i="126"/>
  <c r="K33" i="126"/>
  <c r="K32" i="126"/>
  <c r="K31" i="126"/>
  <c r="K30" i="126"/>
  <c r="K29" i="126"/>
  <c r="J38" i="126"/>
  <c r="J34" i="126"/>
  <c r="J33" i="126"/>
  <c r="J32" i="126"/>
  <c r="J31" i="126"/>
  <c r="J30" i="126"/>
  <c r="J29" i="126"/>
  <c r="I38" i="126"/>
  <c r="I37" i="126"/>
  <c r="I35" i="126"/>
  <c r="I34" i="126"/>
  <c r="I33" i="126"/>
  <c r="I32" i="126"/>
  <c r="I31" i="126"/>
  <c r="I30" i="126"/>
  <c r="I29" i="126"/>
  <c r="H38" i="126"/>
  <c r="H37" i="126"/>
  <c r="H35" i="126"/>
  <c r="H34" i="126"/>
  <c r="H33" i="126"/>
  <c r="H32" i="126"/>
  <c r="H31" i="126"/>
  <c r="H30" i="126"/>
  <c r="H29" i="126"/>
  <c r="G35" i="126"/>
  <c r="G29" i="126"/>
  <c r="G30" i="126"/>
  <c r="G32" i="126"/>
  <c r="G33" i="126"/>
  <c r="G34" i="126"/>
  <c r="G49" i="116"/>
  <c r="F48" i="116"/>
  <c r="G47" i="116"/>
  <c r="H186" i="169"/>
  <c r="H185" i="169"/>
  <c r="H184" i="169"/>
  <c r="H183" i="169"/>
  <c r="H182" i="169"/>
  <c r="H181" i="169"/>
  <c r="H180" i="169"/>
  <c r="H179" i="169"/>
  <c r="H178" i="169"/>
  <c r="E62" i="169"/>
  <c r="H40" i="169"/>
  <c r="H39" i="169"/>
  <c r="H38" i="169"/>
  <c r="H37" i="169"/>
  <c r="H36" i="169"/>
  <c r="H35" i="169"/>
  <c r="H34" i="169"/>
  <c r="H33" i="169"/>
  <c r="H32" i="169"/>
  <c r="H31" i="169"/>
  <c r="G29" i="169"/>
  <c r="G28" i="169"/>
  <c r="G27" i="169"/>
  <c r="G26" i="169"/>
  <c r="G25" i="169"/>
  <c r="G24" i="169"/>
  <c r="G23" i="169"/>
  <c r="G21" i="169"/>
  <c r="G20" i="169"/>
  <c r="G19" i="169"/>
  <c r="G18" i="169"/>
  <c r="G17" i="169"/>
  <c r="H14" i="169"/>
  <c r="G14" i="169"/>
  <c r="F80" i="145"/>
  <c r="E80" i="145"/>
  <c r="H79" i="145"/>
  <c r="G79" i="145"/>
  <c r="H78" i="145"/>
  <c r="G78" i="145"/>
  <c r="M62" i="145"/>
  <c r="L62" i="145"/>
  <c r="K62" i="145"/>
  <c r="M61" i="145"/>
  <c r="L61" i="145"/>
  <c r="K61" i="145"/>
  <c r="M60" i="145"/>
  <c r="L60" i="145"/>
  <c r="K60" i="145"/>
  <c r="G54" i="145"/>
  <c r="G26" i="141" s="1"/>
  <c r="M59" i="145"/>
  <c r="F54" i="145"/>
  <c r="L54" i="145" s="1"/>
  <c r="M58" i="145"/>
  <c r="L58" i="145"/>
  <c r="K58" i="145"/>
  <c r="M57" i="145"/>
  <c r="L57" i="145"/>
  <c r="K57" i="145"/>
  <c r="M56" i="145"/>
  <c r="L56" i="145"/>
  <c r="K56" i="145"/>
  <c r="M55" i="145"/>
  <c r="L55" i="145"/>
  <c r="K55" i="145"/>
  <c r="M53" i="145"/>
  <c r="L53" i="145"/>
  <c r="K53" i="145"/>
  <c r="M52" i="145"/>
  <c r="L52" i="145"/>
  <c r="K52" i="145"/>
  <c r="M51" i="145"/>
  <c r="L51" i="145"/>
  <c r="K51" i="145"/>
  <c r="M50" i="145"/>
  <c r="L50" i="145"/>
  <c r="K50" i="145"/>
  <c r="L45" i="145"/>
  <c r="M45" i="145"/>
  <c r="K45" i="145"/>
  <c r="M44" i="145"/>
  <c r="L44" i="145"/>
  <c r="K44" i="145"/>
  <c r="M43" i="145"/>
  <c r="L43" i="145"/>
  <c r="K43" i="145"/>
  <c r="M42" i="145"/>
  <c r="L42" i="145"/>
  <c r="K42" i="145"/>
  <c r="M41" i="145"/>
  <c r="L41" i="145"/>
  <c r="K41" i="145"/>
  <c r="M40" i="145"/>
  <c r="L40" i="145"/>
  <c r="K40" i="145"/>
  <c r="M39" i="145"/>
  <c r="L39" i="145"/>
  <c r="K39" i="145"/>
  <c r="M38" i="145"/>
  <c r="L38" i="145"/>
  <c r="K38" i="145"/>
  <c r="M37" i="145"/>
  <c r="L37" i="145"/>
  <c r="K37" i="145"/>
  <c r="M36" i="145"/>
  <c r="L36" i="145"/>
  <c r="K36" i="145"/>
  <c r="M35" i="145"/>
  <c r="L35" i="145"/>
  <c r="K35" i="145"/>
  <c r="M34" i="145"/>
  <c r="L34" i="145"/>
  <c r="K34" i="145"/>
  <c r="M33" i="145"/>
  <c r="L33" i="145"/>
  <c r="K33" i="145"/>
  <c r="M32" i="145"/>
  <c r="L32" i="145"/>
  <c r="K32" i="145"/>
  <c r="M31" i="145"/>
  <c r="L31" i="145"/>
  <c r="K31" i="145"/>
  <c r="M30" i="145"/>
  <c r="L30" i="145"/>
  <c r="M29" i="145"/>
  <c r="L29" i="145"/>
  <c r="K29" i="145"/>
  <c r="M28" i="145"/>
  <c r="L28" i="145"/>
  <c r="K28" i="145"/>
  <c r="M27" i="145"/>
  <c r="L27" i="145"/>
  <c r="K27" i="145"/>
  <c r="M26" i="145"/>
  <c r="L26" i="145"/>
  <c r="K26" i="145"/>
  <c r="L25" i="145"/>
  <c r="M25" i="145"/>
  <c r="K25" i="145"/>
  <c r="M24" i="145"/>
  <c r="L24" i="145"/>
  <c r="K24" i="145"/>
  <c r="M23" i="145"/>
  <c r="L23" i="145"/>
  <c r="K23" i="145"/>
  <c r="M22" i="145"/>
  <c r="L22" i="145"/>
  <c r="K22" i="145"/>
  <c r="M21" i="145"/>
  <c r="L21" i="145"/>
  <c r="K21" i="145"/>
  <c r="K20" i="145"/>
  <c r="M20" i="145"/>
  <c r="K18" i="145"/>
  <c r="K17" i="145"/>
  <c r="E16" i="145"/>
  <c r="K16" i="145" s="1"/>
  <c r="F27" i="141"/>
  <c r="F23" i="141"/>
  <c r="M41" i="153" s="1"/>
  <c r="F19" i="141"/>
  <c r="M37" i="153"/>
  <c r="M36" i="153"/>
  <c r="F44" i="116"/>
  <c r="F22" i="116"/>
  <c r="H20" i="116"/>
  <c r="H19" i="116"/>
  <c r="H18" i="116"/>
  <c r="H16" i="116"/>
  <c r="H15" i="116"/>
  <c r="D53" i="141"/>
  <c r="D56" i="141"/>
  <c r="H14" i="116"/>
  <c r="P38" i="153"/>
  <c r="O38" i="153"/>
  <c r="N33" i="155"/>
  <c r="AA24" i="155"/>
  <c r="Z24" i="155"/>
  <c r="Y24" i="155"/>
  <c r="X24" i="155"/>
  <c r="W24" i="155"/>
  <c r="V24" i="155"/>
  <c r="U24" i="155"/>
  <c r="T24" i="155"/>
  <c r="S24" i="155"/>
  <c r="R24" i="155"/>
  <c r="Q24" i="155"/>
  <c r="P24" i="155"/>
  <c r="AA23" i="155"/>
  <c r="Z23" i="155"/>
  <c r="Y23" i="155"/>
  <c r="X23" i="155"/>
  <c r="W23" i="155"/>
  <c r="V23" i="155"/>
  <c r="U23" i="155"/>
  <c r="T23" i="155"/>
  <c r="S23" i="155"/>
  <c r="R23" i="155"/>
  <c r="Q23" i="155"/>
  <c r="P23" i="155"/>
  <c r="AA16" i="155"/>
  <c r="Z16" i="155"/>
  <c r="Y16" i="155"/>
  <c r="X16" i="155"/>
  <c r="W16" i="155"/>
  <c r="V16" i="155"/>
  <c r="U16" i="155"/>
  <c r="T16" i="155"/>
  <c r="S16" i="155"/>
  <c r="R16" i="155"/>
  <c r="Q16" i="155"/>
  <c r="P16" i="155"/>
  <c r="Z15" i="155"/>
  <c r="Y15" i="155"/>
  <c r="X15" i="155"/>
  <c r="W15" i="155"/>
  <c r="V15" i="155"/>
  <c r="U15" i="155"/>
  <c r="T15" i="155"/>
  <c r="S15" i="155"/>
  <c r="R15" i="155"/>
  <c r="P15" i="155"/>
  <c r="P42" i="153"/>
  <c r="P41" i="153"/>
  <c r="P40" i="153"/>
  <c r="P39" i="153"/>
  <c r="P37" i="153"/>
  <c r="P36" i="153"/>
  <c r="P35" i="153"/>
  <c r="P34" i="153"/>
  <c r="P33" i="153"/>
  <c r="P30" i="153"/>
  <c r="P25" i="153"/>
  <c r="P24" i="153"/>
  <c r="P17" i="153"/>
  <c r="P16" i="153"/>
  <c r="P15" i="153"/>
  <c r="O42" i="153"/>
  <c r="O41" i="153"/>
  <c r="O40" i="153"/>
  <c r="O39" i="153"/>
  <c r="O37" i="153"/>
  <c r="O36" i="153"/>
  <c r="O35" i="153"/>
  <c r="O34" i="153"/>
  <c r="O33" i="153"/>
  <c r="O30" i="153"/>
  <c r="O25" i="153"/>
  <c r="O24" i="153"/>
  <c r="O17" i="153"/>
  <c r="O16" i="153"/>
  <c r="O15" i="153"/>
  <c r="N42" i="153"/>
  <c r="N41" i="153"/>
  <c r="N40" i="153"/>
  <c r="N39" i="153"/>
  <c r="N37" i="153"/>
  <c r="N36" i="153"/>
  <c r="N35" i="153"/>
  <c r="N34" i="153"/>
  <c r="N33" i="153"/>
  <c r="N30" i="153"/>
  <c r="N25" i="153"/>
  <c r="N24" i="153"/>
  <c r="N17" i="153"/>
  <c r="N16" i="153"/>
  <c r="N15" i="153"/>
  <c r="K16" i="183"/>
  <c r="L16" i="183"/>
  <c r="M16" i="183"/>
  <c r="N16" i="183"/>
  <c r="K17" i="183"/>
  <c r="L17" i="183"/>
  <c r="M17" i="183"/>
  <c r="N17" i="183"/>
  <c r="K18" i="183"/>
  <c r="L18" i="183"/>
  <c r="M18" i="183"/>
  <c r="N18" i="183"/>
  <c r="K19" i="183"/>
  <c r="L19" i="183"/>
  <c r="M19" i="183"/>
  <c r="N19" i="183"/>
  <c r="G60" i="183"/>
  <c r="N54" i="183" s="1"/>
  <c r="G53" i="183" s="1"/>
  <c r="E50" i="194" s="1"/>
  <c r="G46" i="183"/>
  <c r="G45" i="183"/>
  <c r="G44" i="183"/>
  <c r="G42" i="183"/>
  <c r="G43" i="183"/>
  <c r="H44" i="183"/>
  <c r="J19" i="183"/>
  <c r="J18" i="183"/>
  <c r="J17" i="183"/>
  <c r="J16" i="183"/>
  <c r="M44" i="150"/>
  <c r="M36" i="150"/>
  <c r="M27" i="150"/>
  <c r="M26" i="150"/>
  <c r="M25" i="150"/>
  <c r="U22" i="150"/>
  <c r="Q22" i="150"/>
  <c r="F19" i="172"/>
  <c r="E19" i="172"/>
  <c r="F15" i="172"/>
  <c r="E15" i="172"/>
  <c r="I63" i="178"/>
  <c r="I62" i="178"/>
  <c r="I61" i="178"/>
  <c r="I59" i="178"/>
  <c r="I58" i="178"/>
  <c r="I57" i="178"/>
  <c r="I56" i="178"/>
  <c r="I55" i="178"/>
  <c r="I54" i="178"/>
  <c r="I51" i="178"/>
  <c r="I49" i="178"/>
  <c r="I46" i="178"/>
  <c r="I44" i="178"/>
  <c r="I41" i="178"/>
  <c r="I39" i="178"/>
  <c r="I36" i="178"/>
  <c r="I35" i="178"/>
  <c r="I34" i="178"/>
  <c r="I33" i="178"/>
  <c r="I32" i="178"/>
  <c r="I31" i="178"/>
  <c r="I28" i="178"/>
  <c r="I26" i="178"/>
  <c r="I23" i="178"/>
  <c r="I21" i="178"/>
  <c r="I18" i="178"/>
  <c r="I16" i="178"/>
  <c r="F71" i="152"/>
  <c r="F70" i="152"/>
  <c r="F69" i="152"/>
  <c r="F68" i="152"/>
  <c r="F67" i="152"/>
  <c r="F66" i="152"/>
  <c r="F65" i="152"/>
  <c r="F64" i="152"/>
  <c r="F63" i="152"/>
  <c r="F62" i="152"/>
  <c r="F61" i="152"/>
  <c r="F60" i="152"/>
  <c r="U38" i="150"/>
  <c r="Q38" i="150"/>
  <c r="R32" i="150"/>
  <c r="P32" i="150"/>
  <c r="R16" i="150"/>
  <c r="Q16" i="150"/>
  <c r="M29" i="178"/>
  <c r="H62" i="124"/>
  <c r="H61" i="124"/>
  <c r="H60" i="124"/>
  <c r="H59" i="124"/>
  <c r="H58" i="124"/>
  <c r="H57" i="124"/>
  <c r="H56" i="124"/>
  <c r="H55" i="124"/>
  <c r="H54" i="124"/>
  <c r="H53" i="124"/>
  <c r="H52" i="124"/>
  <c r="H51" i="124"/>
  <c r="H50" i="124"/>
  <c r="H49" i="124"/>
  <c r="H48" i="124"/>
  <c r="G80" i="124"/>
  <c r="G79" i="124"/>
  <c r="G78" i="124"/>
  <c r="G76" i="124"/>
  <c r="G75" i="124"/>
  <c r="G74" i="124"/>
  <c r="G73" i="124"/>
  <c r="G72" i="124"/>
  <c r="G71" i="124"/>
  <c r="G70" i="124"/>
  <c r="G69" i="124"/>
  <c r="G65" i="124"/>
  <c r="G64" i="124"/>
  <c r="G63" i="124"/>
  <c r="G62" i="124"/>
  <c r="G61" i="124"/>
  <c r="G59" i="124"/>
  <c r="G58" i="124"/>
  <c r="G57" i="124"/>
  <c r="G56" i="124"/>
  <c r="G55" i="124"/>
  <c r="G53" i="124"/>
  <c r="G52" i="124"/>
  <c r="G51" i="124"/>
  <c r="G50" i="124"/>
  <c r="G49" i="124"/>
  <c r="F80" i="124"/>
  <c r="F79" i="124"/>
  <c r="F78" i="124"/>
  <c r="F76" i="124"/>
  <c r="F75" i="124"/>
  <c r="F74" i="124"/>
  <c r="F73" i="124"/>
  <c r="F72" i="124"/>
  <c r="F71" i="124"/>
  <c r="F70" i="124"/>
  <c r="F69" i="124"/>
  <c r="F65" i="124"/>
  <c r="F64" i="124"/>
  <c r="F63" i="124"/>
  <c r="F62" i="124"/>
  <c r="F61" i="124"/>
  <c r="F59" i="124"/>
  <c r="F58" i="124"/>
  <c r="F57" i="124"/>
  <c r="F56" i="124"/>
  <c r="F55" i="124"/>
  <c r="F53" i="124"/>
  <c r="F52" i="124"/>
  <c r="F51" i="124"/>
  <c r="F50" i="124"/>
  <c r="F49" i="124"/>
  <c r="E80" i="124"/>
  <c r="E79" i="124"/>
  <c r="E78" i="124"/>
  <c r="E76" i="124"/>
  <c r="E75" i="124"/>
  <c r="E74" i="124"/>
  <c r="E73" i="124"/>
  <c r="E72" i="124"/>
  <c r="E71" i="124"/>
  <c r="E70" i="124"/>
  <c r="E69" i="124"/>
  <c r="E65" i="124"/>
  <c r="E64" i="124"/>
  <c r="E63" i="124"/>
  <c r="E62" i="124"/>
  <c r="E61" i="124"/>
  <c r="E59" i="124"/>
  <c r="E58" i="124"/>
  <c r="E57" i="124"/>
  <c r="E56" i="124"/>
  <c r="E55" i="124"/>
  <c r="E53" i="124"/>
  <c r="E52" i="124"/>
  <c r="E51" i="124"/>
  <c r="E50" i="124"/>
  <c r="E49" i="124"/>
  <c r="L41" i="124"/>
  <c r="L39" i="124"/>
  <c r="L38" i="124"/>
  <c r="L37" i="124"/>
  <c r="L36" i="124"/>
  <c r="L30" i="124"/>
  <c r="L28" i="124"/>
  <c r="L24" i="124"/>
  <c r="L22" i="124"/>
  <c r="L18" i="124"/>
  <c r="L16" i="124"/>
  <c r="K42" i="124"/>
  <c r="J42" i="124"/>
  <c r="I42" i="124"/>
  <c r="K40" i="124"/>
  <c r="J40" i="124"/>
  <c r="I40" i="124"/>
  <c r="J71" i="152"/>
  <c r="J70" i="152"/>
  <c r="J69" i="152"/>
  <c r="J68" i="152"/>
  <c r="J67" i="152"/>
  <c r="J66" i="152"/>
  <c r="J65" i="152"/>
  <c r="J64" i="152"/>
  <c r="J63" i="152"/>
  <c r="J62" i="152"/>
  <c r="J61" i="152"/>
  <c r="J60" i="152"/>
  <c r="J58" i="152"/>
  <c r="J57" i="152"/>
  <c r="J56" i="152"/>
  <c r="J55" i="152"/>
  <c r="J54" i="152"/>
  <c r="J53" i="152"/>
  <c r="J51" i="152"/>
  <c r="J50" i="152"/>
  <c r="J49" i="152"/>
  <c r="J48" i="152"/>
  <c r="J47" i="152"/>
  <c r="I71" i="152"/>
  <c r="I70" i="152"/>
  <c r="I69" i="152"/>
  <c r="I68" i="152"/>
  <c r="I67" i="152"/>
  <c r="I66" i="152"/>
  <c r="I65" i="152"/>
  <c r="I64" i="152"/>
  <c r="I63" i="152"/>
  <c r="I62" i="152"/>
  <c r="I61" i="152"/>
  <c r="I60" i="152"/>
  <c r="I58" i="152"/>
  <c r="I57" i="152"/>
  <c r="I56" i="152"/>
  <c r="I55" i="152"/>
  <c r="I54" i="152"/>
  <c r="I53" i="152"/>
  <c r="I51" i="152"/>
  <c r="I50" i="152"/>
  <c r="I49" i="152"/>
  <c r="I48" i="152"/>
  <c r="I47" i="152"/>
  <c r="H71" i="152"/>
  <c r="H70" i="152"/>
  <c r="H69" i="152"/>
  <c r="H68" i="152"/>
  <c r="H67" i="152"/>
  <c r="H66" i="152"/>
  <c r="H65" i="152"/>
  <c r="H64" i="152"/>
  <c r="H63" i="152"/>
  <c r="H62" i="152"/>
  <c r="H61" i="152"/>
  <c r="H60" i="152"/>
  <c r="H58" i="152"/>
  <c r="H57" i="152"/>
  <c r="H56" i="152"/>
  <c r="H55" i="152"/>
  <c r="H54" i="152"/>
  <c r="H53" i="152"/>
  <c r="H51" i="152"/>
  <c r="H50" i="152"/>
  <c r="H49" i="152"/>
  <c r="H48" i="152"/>
  <c r="H47" i="152"/>
  <c r="G71" i="152"/>
  <c r="G70" i="152"/>
  <c r="G69" i="152"/>
  <c r="G68" i="152"/>
  <c r="G67" i="152"/>
  <c r="G66" i="152"/>
  <c r="G65" i="152"/>
  <c r="G64" i="152"/>
  <c r="G63" i="152"/>
  <c r="G62" i="152"/>
  <c r="G61" i="152"/>
  <c r="G60" i="152"/>
  <c r="G58" i="152"/>
  <c r="G57" i="152"/>
  <c r="G56" i="152"/>
  <c r="G55" i="152"/>
  <c r="G54" i="152"/>
  <c r="G53" i="152"/>
  <c r="G51" i="152"/>
  <c r="G50" i="152"/>
  <c r="G49" i="152"/>
  <c r="G48" i="152"/>
  <c r="G47" i="152"/>
  <c r="F58" i="152"/>
  <c r="F57" i="152"/>
  <c r="F56" i="152"/>
  <c r="F55" i="152"/>
  <c r="F54" i="152"/>
  <c r="F53" i="152"/>
  <c r="F51" i="152"/>
  <c r="F50" i="152"/>
  <c r="F49" i="152"/>
  <c r="F48" i="152"/>
  <c r="F47" i="152"/>
  <c r="E47" i="152"/>
  <c r="E71" i="152"/>
  <c r="E70" i="152"/>
  <c r="E69" i="152"/>
  <c r="E68" i="152"/>
  <c r="E67" i="152"/>
  <c r="E66" i="152"/>
  <c r="E65" i="152"/>
  <c r="E64" i="152"/>
  <c r="E63" i="152"/>
  <c r="E62" i="152"/>
  <c r="E61" i="152"/>
  <c r="E60" i="152"/>
  <c r="E58" i="152"/>
  <c r="E57" i="152"/>
  <c r="E56" i="152"/>
  <c r="E55" i="152"/>
  <c r="E54" i="152"/>
  <c r="E53" i="152"/>
  <c r="E51" i="152"/>
  <c r="E50" i="152"/>
  <c r="E49" i="152"/>
  <c r="E48" i="152"/>
  <c r="F49" i="143"/>
  <c r="F39" i="186"/>
  <c r="F38" i="178"/>
  <c r="G42" i="182"/>
  <c r="J16" i="178"/>
  <c r="D54" i="182"/>
  <c r="D53" i="182"/>
  <c r="D52" i="182"/>
  <c r="D51" i="182"/>
  <c r="D50" i="182"/>
  <c r="D49" i="182"/>
  <c r="D48" i="182"/>
  <c r="D47" i="182"/>
  <c r="D45" i="182"/>
  <c r="D44" i="182"/>
  <c r="D43" i="182"/>
  <c r="D42" i="182"/>
  <c r="D41" i="182"/>
  <c r="D40" i="182"/>
  <c r="D39" i="182"/>
  <c r="D38" i="182"/>
  <c r="D37" i="182"/>
  <c r="D36" i="182"/>
  <c r="G54" i="182"/>
  <c r="G53" i="182"/>
  <c r="G52" i="182"/>
  <c r="G51" i="182"/>
  <c r="G50" i="182"/>
  <c r="G49" i="182"/>
  <c r="G48" i="182"/>
  <c r="G47" i="182"/>
  <c r="G45" i="182"/>
  <c r="G44" i="182"/>
  <c r="G43" i="182"/>
  <c r="G41" i="182"/>
  <c r="G40" i="182"/>
  <c r="G39" i="182"/>
  <c r="G38" i="182"/>
  <c r="G37" i="182"/>
  <c r="G36" i="182"/>
  <c r="F71" i="186"/>
  <c r="F70" i="186"/>
  <c r="F69" i="186"/>
  <c r="F67" i="186"/>
  <c r="F66" i="186"/>
  <c r="F65" i="186"/>
  <c r="F64" i="186"/>
  <c r="F63" i="186"/>
  <c r="F62" i="186"/>
  <c r="F60" i="186"/>
  <c r="F59" i="186"/>
  <c r="F58" i="186"/>
  <c r="F57" i="186"/>
  <c r="F42" i="186"/>
  <c r="F41" i="186"/>
  <c r="F40" i="186"/>
  <c r="F38" i="186"/>
  <c r="F37" i="186"/>
  <c r="F35" i="186"/>
  <c r="F34" i="186"/>
  <c r="F33" i="186"/>
  <c r="F32" i="186"/>
  <c r="F31" i="186"/>
  <c r="F30" i="186"/>
  <c r="F29" i="186"/>
  <c r="F28" i="186"/>
  <c r="F26" i="186"/>
  <c r="F25" i="186"/>
  <c r="F24" i="186"/>
  <c r="F23" i="186"/>
  <c r="F22" i="186"/>
  <c r="F20" i="186"/>
  <c r="F19" i="186"/>
  <c r="F18" i="186"/>
  <c r="F17" i="186"/>
  <c r="F16" i="186"/>
  <c r="E27" i="186"/>
  <c r="F27" i="186" s="1"/>
  <c r="E21" i="186"/>
  <c r="F21" i="186"/>
  <c r="E15" i="186"/>
  <c r="E14" i="186" s="1"/>
  <c r="F20" i="187"/>
  <c r="F19" i="187"/>
  <c r="F17" i="187"/>
  <c r="F16" i="187"/>
  <c r="F14" i="187"/>
  <c r="F13" i="187"/>
  <c r="F12" i="187"/>
  <c r="F70" i="172"/>
  <c r="E70" i="172"/>
  <c r="F66" i="172"/>
  <c r="E66" i="172"/>
  <c r="F60" i="172"/>
  <c r="E60" i="172"/>
  <c r="E47" i="183"/>
  <c r="G47" i="183"/>
  <c r="H76" i="144"/>
  <c r="F69" i="143"/>
  <c r="F20" i="140"/>
  <c r="H119" i="172"/>
  <c r="H113" i="172"/>
  <c r="H112" i="172"/>
  <c r="H110" i="172"/>
  <c r="H109" i="172"/>
  <c r="H101" i="172"/>
  <c r="H100" i="172"/>
  <c r="H99" i="172"/>
  <c r="H98" i="172"/>
  <c r="H97" i="172"/>
  <c r="H96" i="172"/>
  <c r="G119" i="172"/>
  <c r="G113" i="172"/>
  <c r="G112" i="172"/>
  <c r="G110" i="172"/>
  <c r="G109" i="172"/>
  <c r="G101" i="172"/>
  <c r="G100" i="172"/>
  <c r="G99" i="172"/>
  <c r="G98" i="172"/>
  <c r="G97" i="172"/>
  <c r="G96" i="172"/>
  <c r="F124" i="172"/>
  <c r="F126" i="172" s="1"/>
  <c r="F116" i="190"/>
  <c r="F114" i="190"/>
  <c r="F66" i="190"/>
  <c r="F65" i="190"/>
  <c r="F64" i="190"/>
  <c r="E45" i="190"/>
  <c r="E42" i="190"/>
  <c r="W22" i="155"/>
  <c r="V22" i="155"/>
  <c r="U22" i="155"/>
  <c r="AA22" i="155"/>
  <c r="Y22" i="155"/>
  <c r="X22" i="155"/>
  <c r="T22" i="155"/>
  <c r="S22" i="155"/>
  <c r="R22" i="155"/>
  <c r="P14" i="153"/>
  <c r="J24" i="183"/>
  <c r="J23" i="183"/>
  <c r="U48" i="150"/>
  <c r="U43" i="150"/>
  <c r="U42" i="150"/>
  <c r="U41" i="150"/>
  <c r="U40" i="150"/>
  <c r="U39" i="150"/>
  <c r="U37" i="150"/>
  <c r="U36" i="150"/>
  <c r="U35" i="150"/>
  <c r="U34" i="150"/>
  <c r="U33" i="150"/>
  <c r="U27" i="150"/>
  <c r="U26" i="150"/>
  <c r="U25" i="150"/>
  <c r="U24" i="150"/>
  <c r="U23" i="150"/>
  <c r="U21" i="150"/>
  <c r="U20" i="150"/>
  <c r="U19" i="150"/>
  <c r="U18" i="150"/>
  <c r="U17" i="150"/>
  <c r="R43" i="150"/>
  <c r="R42" i="150"/>
  <c r="R41" i="150"/>
  <c r="R40" i="150"/>
  <c r="R39" i="150"/>
  <c r="R37" i="150"/>
  <c r="R36" i="150"/>
  <c r="R35" i="150"/>
  <c r="R34" i="150"/>
  <c r="R33" i="150"/>
  <c r="R27" i="150"/>
  <c r="R26" i="150"/>
  <c r="R25" i="150"/>
  <c r="R24" i="150"/>
  <c r="R23" i="150"/>
  <c r="R21" i="150"/>
  <c r="R20" i="150"/>
  <c r="R19" i="150"/>
  <c r="R18" i="150"/>
  <c r="R17" i="150"/>
  <c r="Q43" i="150"/>
  <c r="Q42" i="150"/>
  <c r="Q41" i="150"/>
  <c r="Q40" i="150"/>
  <c r="Q39" i="150"/>
  <c r="Q37" i="150"/>
  <c r="Q36" i="150"/>
  <c r="Q35" i="150"/>
  <c r="Q34" i="150"/>
  <c r="Q33" i="150"/>
  <c r="Q27" i="150"/>
  <c r="Q26" i="150"/>
  <c r="Q25" i="150"/>
  <c r="Q24" i="150"/>
  <c r="Q23" i="150"/>
  <c r="Q21" i="150"/>
  <c r="Q20" i="150"/>
  <c r="Q19" i="150"/>
  <c r="Q18" i="150"/>
  <c r="Q17" i="150"/>
  <c r="P43" i="150"/>
  <c r="P42" i="150"/>
  <c r="P41" i="150"/>
  <c r="P40" i="150"/>
  <c r="P39" i="150"/>
  <c r="P38" i="150"/>
  <c r="P37" i="150"/>
  <c r="P36" i="150"/>
  <c r="P35" i="150"/>
  <c r="P34" i="150"/>
  <c r="P33" i="150"/>
  <c r="P27" i="150"/>
  <c r="P26" i="150"/>
  <c r="P25" i="150"/>
  <c r="P24" i="150"/>
  <c r="P23" i="150"/>
  <c r="P21" i="150"/>
  <c r="P20" i="150"/>
  <c r="P19" i="150"/>
  <c r="P18" i="150"/>
  <c r="P17" i="150"/>
  <c r="R48" i="150"/>
  <c r="Q48" i="150"/>
  <c r="I48" i="178"/>
  <c r="L48" i="178"/>
  <c r="G43" i="178"/>
  <c r="M43" i="178" s="1"/>
  <c r="F43" i="178"/>
  <c r="L43" i="178" s="1"/>
  <c r="K43" i="178"/>
  <c r="G38" i="178"/>
  <c r="G60" i="178" s="1"/>
  <c r="E38" i="178"/>
  <c r="E60" i="178" s="1"/>
  <c r="G25" i="178"/>
  <c r="I25" i="178"/>
  <c r="F25" i="178"/>
  <c r="L25" i="178" s="1"/>
  <c r="E25" i="178"/>
  <c r="K25" i="178" s="1"/>
  <c r="G20" i="178"/>
  <c r="F20" i="178"/>
  <c r="L20" i="178" s="1"/>
  <c r="E20" i="178"/>
  <c r="K20" i="178" s="1"/>
  <c r="G15" i="178"/>
  <c r="F15" i="178"/>
  <c r="L15" i="178" s="1"/>
  <c r="E15" i="178"/>
  <c r="E37" i="178" s="1"/>
  <c r="E73" i="178" s="1"/>
  <c r="M67" i="178"/>
  <c r="M66" i="178"/>
  <c r="M65" i="178"/>
  <c r="M63" i="178"/>
  <c r="M62" i="178"/>
  <c r="M61" i="178"/>
  <c r="M59" i="178"/>
  <c r="M58" i="178"/>
  <c r="M57" i="178"/>
  <c r="M56" i="178"/>
  <c r="M55" i="178"/>
  <c r="M54" i="178"/>
  <c r="M52" i="178"/>
  <c r="M51" i="178"/>
  <c r="M50" i="178"/>
  <c r="M49" i="178"/>
  <c r="M47" i="178"/>
  <c r="M46" i="178"/>
  <c r="M45" i="178"/>
  <c r="M44" i="178"/>
  <c r="M42" i="178"/>
  <c r="M41" i="178"/>
  <c r="M40" i="178"/>
  <c r="M39" i="178"/>
  <c r="M36" i="178"/>
  <c r="M35" i="178"/>
  <c r="M34" i="178"/>
  <c r="M33" i="178"/>
  <c r="M32" i="178"/>
  <c r="M31" i="178"/>
  <c r="M28" i="178"/>
  <c r="M27" i="178"/>
  <c r="M26" i="178"/>
  <c r="M25" i="178"/>
  <c r="M24" i="178"/>
  <c r="M23" i="178"/>
  <c r="M22" i="178"/>
  <c r="M21" i="178"/>
  <c r="M19" i="178"/>
  <c r="M18" i="178"/>
  <c r="M17" i="178"/>
  <c r="M16" i="178"/>
  <c r="L67" i="178"/>
  <c r="L66" i="178"/>
  <c r="L65" i="178"/>
  <c r="L63" i="178"/>
  <c r="L62" i="178"/>
  <c r="L61" i="178"/>
  <c r="L59" i="178"/>
  <c r="L58" i="178"/>
  <c r="L57" i="178"/>
  <c r="L56" i="178"/>
  <c r="L55" i="178"/>
  <c r="L54" i="178"/>
  <c r="L52" i="178"/>
  <c r="L51" i="178"/>
  <c r="L50" i="178"/>
  <c r="L49" i="178"/>
  <c r="L47" i="178"/>
  <c r="L46" i="178"/>
  <c r="L45" i="178"/>
  <c r="L44" i="178"/>
  <c r="L42" i="178"/>
  <c r="L41" i="178"/>
  <c r="L40" i="178"/>
  <c r="L39" i="178"/>
  <c r="L36" i="178"/>
  <c r="L35" i="178"/>
  <c r="L34" i="178"/>
  <c r="L33" i="178"/>
  <c r="L32" i="178"/>
  <c r="L31" i="178"/>
  <c r="L29" i="178"/>
  <c r="L28" i="178"/>
  <c r="L27" i="178"/>
  <c r="L26" i="178"/>
  <c r="L24" i="178"/>
  <c r="L23" i="178"/>
  <c r="L22" i="178"/>
  <c r="L21" i="178"/>
  <c r="L19" i="178"/>
  <c r="L18" i="178"/>
  <c r="L17" i="178"/>
  <c r="L16" i="178"/>
  <c r="K67" i="178"/>
  <c r="K66" i="178"/>
  <c r="K65" i="178"/>
  <c r="K63" i="178"/>
  <c r="K62" i="178"/>
  <c r="K61" i="178"/>
  <c r="K59" i="178"/>
  <c r="K58" i="178"/>
  <c r="K57" i="178"/>
  <c r="K56" i="178"/>
  <c r="K55" i="178"/>
  <c r="K54" i="178"/>
  <c r="K52" i="178"/>
  <c r="K51" i="178"/>
  <c r="K50" i="178"/>
  <c r="K49" i="178"/>
  <c r="K48" i="178"/>
  <c r="K47" i="178"/>
  <c r="K46" i="178"/>
  <c r="K45" i="178"/>
  <c r="K44" i="178"/>
  <c r="K42" i="178"/>
  <c r="K41" i="178"/>
  <c r="K40" i="178"/>
  <c r="K39" i="178"/>
  <c r="K36" i="178"/>
  <c r="K35" i="178"/>
  <c r="K34" i="178"/>
  <c r="K33" i="178"/>
  <c r="K32" i="178"/>
  <c r="K31" i="178"/>
  <c r="K29" i="178"/>
  <c r="K28" i="178"/>
  <c r="K27" i="178"/>
  <c r="K26" i="178"/>
  <c r="K24" i="178"/>
  <c r="K23" i="178"/>
  <c r="K22" i="178"/>
  <c r="K21" i="178"/>
  <c r="K19" i="178"/>
  <c r="K18" i="178"/>
  <c r="K17" i="178"/>
  <c r="K16" i="178"/>
  <c r="J63" i="178"/>
  <c r="J62" i="178"/>
  <c r="J61" i="178"/>
  <c r="J59" i="178"/>
  <c r="J58" i="178"/>
  <c r="J57" i="178"/>
  <c r="J56" i="178"/>
  <c r="J55" i="178"/>
  <c r="J54" i="178"/>
  <c r="J51" i="178"/>
  <c r="J49" i="178"/>
  <c r="J48" i="178"/>
  <c r="J46" i="178"/>
  <c r="J44" i="178"/>
  <c r="J43" i="178"/>
  <c r="J41" i="178"/>
  <c r="J39" i="178"/>
  <c r="J38" i="178"/>
  <c r="J36" i="178"/>
  <c r="J35" i="178"/>
  <c r="J34" i="178"/>
  <c r="J33" i="178"/>
  <c r="J32" i="178"/>
  <c r="J31" i="178"/>
  <c r="J28" i="178"/>
  <c r="J26" i="178"/>
  <c r="J25" i="178"/>
  <c r="J23" i="178"/>
  <c r="J21" i="178"/>
  <c r="J20" i="178"/>
  <c r="J18" i="178"/>
  <c r="J15" i="178"/>
  <c r="M53" i="178"/>
  <c r="J37" i="178"/>
  <c r="G69" i="178"/>
  <c r="F69" i="178"/>
  <c r="K36" i="124"/>
  <c r="G66" i="124"/>
  <c r="F66" i="124"/>
  <c r="G65" i="146"/>
  <c r="G64" i="146"/>
  <c r="G63" i="146"/>
  <c r="G62" i="146"/>
  <c r="G61" i="146"/>
  <c r="G60" i="146"/>
  <c r="G53" i="146"/>
  <c r="G54" i="146"/>
  <c r="G55" i="146"/>
  <c r="G56" i="146"/>
  <c r="G57" i="146"/>
  <c r="G58" i="146"/>
  <c r="G72" i="146"/>
  <c r="G71" i="146"/>
  <c r="G70" i="146"/>
  <c r="G69" i="146"/>
  <c r="G68" i="146"/>
  <c r="G67" i="146"/>
  <c r="E54" i="182"/>
  <c r="E53" i="182"/>
  <c r="E52" i="182"/>
  <c r="E51" i="182"/>
  <c r="E50" i="182"/>
  <c r="E49" i="182"/>
  <c r="E48" i="182"/>
  <c r="E47" i="182"/>
  <c r="E45" i="182"/>
  <c r="E44" i="182"/>
  <c r="E43" i="182"/>
  <c r="E42" i="182"/>
  <c r="E41" i="182"/>
  <c r="E40" i="182"/>
  <c r="E39" i="182"/>
  <c r="E38" i="182"/>
  <c r="E37" i="182"/>
  <c r="F68" i="143"/>
  <c r="F67" i="143"/>
  <c r="F24" i="143"/>
  <c r="F17" i="143"/>
  <c r="E173" i="144"/>
  <c r="F173" i="144" s="1"/>
  <c r="F172" i="144"/>
  <c r="F171" i="144"/>
  <c r="G32" i="144"/>
  <c r="G31" i="144"/>
  <c r="G30" i="144"/>
  <c r="G29" i="144"/>
  <c r="G28" i="144"/>
  <c r="G27" i="144"/>
  <c r="G25" i="144"/>
  <c r="G24" i="144"/>
  <c r="G23" i="144"/>
  <c r="G22" i="144"/>
  <c r="G21" i="144"/>
  <c r="G19" i="144"/>
  <c r="G18" i="144"/>
  <c r="G17" i="144"/>
  <c r="G16" i="144"/>
  <c r="P32" i="153"/>
  <c r="O32" i="153"/>
  <c r="N32" i="153"/>
  <c r="P23" i="153"/>
  <c r="O23" i="153"/>
  <c r="N23" i="153"/>
  <c r="O14" i="153"/>
  <c r="R22" i="150"/>
  <c r="E55" i="182"/>
  <c r="G26" i="124"/>
  <c r="K27" i="124" s="1"/>
  <c r="E26" i="124"/>
  <c r="F26" i="124"/>
  <c r="F60" i="124"/>
  <c r="G20" i="124"/>
  <c r="F20" i="124"/>
  <c r="F43" i="124" s="1"/>
  <c r="J43" i="124" s="1"/>
  <c r="E20" i="124"/>
  <c r="L14" i="124"/>
  <c r="G66" i="146"/>
  <c r="G59" i="146"/>
  <c r="G52" i="146"/>
  <c r="P32" i="146"/>
  <c r="K22" i="152"/>
  <c r="J22" i="152"/>
  <c r="J79" i="152" s="1"/>
  <c r="I22" i="152"/>
  <c r="I79" i="152" s="1"/>
  <c r="H22" i="152"/>
  <c r="G22" i="152"/>
  <c r="F22" i="152"/>
  <c r="F29" i="152" s="1"/>
  <c r="J46" i="152"/>
  <c r="I29" i="152"/>
  <c r="I59" i="152" s="1"/>
  <c r="I46" i="152"/>
  <c r="G46" i="152"/>
  <c r="F46" i="152"/>
  <c r="H82" i="144"/>
  <c r="F29" i="140"/>
  <c r="D28" i="126" s="1"/>
  <c r="F22" i="140"/>
  <c r="K30" i="178"/>
  <c r="E69" i="178"/>
  <c r="F36" i="186"/>
  <c r="E47" i="124"/>
  <c r="H69" i="178"/>
  <c r="J14" i="124"/>
  <c r="F48" i="124"/>
  <c r="L53" i="178"/>
  <c r="F70" i="178"/>
  <c r="J29" i="152"/>
  <c r="J59" i="152" s="1"/>
  <c r="E60" i="124"/>
  <c r="I27" i="124"/>
  <c r="I14" i="124"/>
  <c r="E48" i="124"/>
  <c r="I43" i="152"/>
  <c r="J21" i="124"/>
  <c r="F54" i="124"/>
  <c r="I53" i="178"/>
  <c r="K53" i="178"/>
  <c r="M30" i="178"/>
  <c r="I30" i="178"/>
  <c r="J27" i="124"/>
  <c r="M48" i="178"/>
  <c r="L30" i="178"/>
  <c r="F43" i="183"/>
  <c r="N35" i="183" s="1"/>
  <c r="G34" i="183" s="1"/>
  <c r="J30" i="178"/>
  <c r="K38" i="178"/>
  <c r="F40" i="140"/>
  <c r="F43" i="140"/>
  <c r="F14" i="140"/>
  <c r="F61" i="186"/>
  <c r="M40" i="153"/>
  <c r="H50" i="210"/>
  <c r="E36" i="211"/>
  <c r="F18" i="187"/>
  <c r="N23" i="210"/>
  <c r="G22" i="210" s="1"/>
  <c r="E109" i="194" s="1"/>
  <c r="G23" i="209"/>
  <c r="G22" i="141"/>
  <c r="K54" i="145"/>
  <c r="K30" i="145"/>
  <c r="G19" i="145"/>
  <c r="K59" i="145"/>
  <c r="L59" i="145"/>
  <c r="G54" i="124" l="1"/>
  <c r="G43" i="124"/>
  <c r="V25" i="150"/>
  <c r="Y25" i="150"/>
  <c r="V44" i="150"/>
  <c r="Y44" i="150"/>
  <c r="N49" i="186"/>
  <c r="G60" i="124"/>
  <c r="E54" i="124"/>
  <c r="E43" i="124"/>
  <c r="I43" i="124" s="1"/>
  <c r="K15" i="178"/>
  <c r="V26" i="150"/>
  <c r="Y26" i="150"/>
  <c r="V36" i="150"/>
  <c r="Y36" i="150"/>
  <c r="H177" i="169"/>
  <c r="G187" i="169"/>
  <c r="I43" i="178"/>
  <c r="E50" i="190"/>
  <c r="F15" i="186"/>
  <c r="V27" i="150"/>
  <c r="Y27" i="150"/>
  <c r="F60" i="178"/>
  <c r="G14" i="209"/>
  <c r="N5" i="209" s="1"/>
  <c r="G4" i="209" s="1"/>
  <c r="E104" i="194" s="1"/>
  <c r="V32" i="155"/>
  <c r="Q14" i="155"/>
  <c r="G20" i="140"/>
  <c r="T20" i="213"/>
  <c r="O5" i="213" s="1"/>
  <c r="G4" i="213" s="1"/>
  <c r="E74" i="194" s="1"/>
  <c r="H79" i="152"/>
  <c r="Q22" i="152"/>
  <c r="F52" i="152"/>
  <c r="P22" i="152"/>
  <c r="F17" i="202"/>
  <c r="E16" i="202"/>
  <c r="E81" i="172"/>
  <c r="F46" i="172"/>
  <c r="E46" i="172"/>
  <c r="F81" i="172"/>
  <c r="I15" i="178"/>
  <c r="G37" i="178"/>
  <c r="M15" i="178"/>
  <c r="F37" i="178"/>
  <c r="L37" i="178" s="1"/>
  <c r="N70" i="145"/>
  <c r="G69" i="145" s="1"/>
  <c r="E35" i="194" s="1"/>
  <c r="F16" i="141"/>
  <c r="M34" i="153" s="1"/>
  <c r="N5" i="204"/>
  <c r="G4" i="204" s="1"/>
  <c r="E96" i="194" s="1"/>
  <c r="J60" i="178"/>
  <c r="G63" i="145"/>
  <c r="M63" i="145" s="1"/>
  <c r="M54" i="145"/>
  <c r="I16" i="202"/>
  <c r="F36" i="211"/>
  <c r="G37" i="211"/>
  <c r="T33" i="211"/>
  <c r="K29" i="152"/>
  <c r="K64" i="152" s="1"/>
  <c r="K79" i="152"/>
  <c r="K77" i="152"/>
  <c r="F44" i="152"/>
  <c r="M60" i="178"/>
  <c r="E119" i="190"/>
  <c r="N57" i="190"/>
  <c r="G56" i="190" s="1"/>
  <c r="E64" i="194" s="1"/>
  <c r="N74" i="190"/>
  <c r="G73" i="190" s="1"/>
  <c r="E65" i="194" s="1"/>
  <c r="F190" i="169"/>
  <c r="G35" i="143"/>
  <c r="E190" i="169"/>
  <c r="E200" i="169"/>
  <c r="H187" i="169"/>
  <c r="T32" i="155"/>
  <c r="AA32" i="155"/>
  <c r="S32" i="155"/>
  <c r="X32" i="155"/>
  <c r="Q22" i="155"/>
  <c r="U14" i="155"/>
  <c r="P22" i="155"/>
  <c r="W14" i="155"/>
  <c r="R14" i="155"/>
  <c r="Z14" i="155"/>
  <c r="Z32" i="155"/>
  <c r="Y32" i="155"/>
  <c r="T14" i="155"/>
  <c r="AA14" i="155"/>
  <c r="U16" i="150"/>
  <c r="P48" i="150"/>
  <c r="E72" i="150"/>
  <c r="K64" i="150"/>
  <c r="U64" i="150" s="1"/>
  <c r="K70" i="150"/>
  <c r="J34" i="124"/>
  <c r="J33" i="124"/>
  <c r="K21" i="124"/>
  <c r="K33" i="124"/>
  <c r="K34" i="124"/>
  <c r="E15" i="145"/>
  <c r="L32" i="124"/>
  <c r="F47" i="124"/>
  <c r="L26" i="124"/>
  <c r="L20" i="124"/>
  <c r="I34" i="124"/>
  <c r="H77" i="152"/>
  <c r="H78" i="152"/>
  <c r="E46" i="152"/>
  <c r="E52" i="152"/>
  <c r="E78" i="152"/>
  <c r="E79" i="152"/>
  <c r="I78" i="152"/>
  <c r="I77" i="152"/>
  <c r="H29" i="152"/>
  <c r="H59" i="152" s="1"/>
  <c r="H46" i="152"/>
  <c r="G78" i="152"/>
  <c r="G77" i="152"/>
  <c r="G79" i="152"/>
  <c r="J78" i="152"/>
  <c r="J77" i="152"/>
  <c r="K51" i="152"/>
  <c r="F79" i="152"/>
  <c r="F77" i="152"/>
  <c r="F78" i="152"/>
  <c r="H52" i="152"/>
  <c r="I52" i="152"/>
  <c r="H44" i="152"/>
  <c r="K57" i="152"/>
  <c r="K78" i="152"/>
  <c r="J36" i="126"/>
  <c r="E25" i="183"/>
  <c r="J48" i="126"/>
  <c r="E23" i="183"/>
  <c r="L29" i="126"/>
  <c r="E29" i="183"/>
  <c r="K40" i="126"/>
  <c r="E27" i="183"/>
  <c r="I28" i="126"/>
  <c r="K64" i="178"/>
  <c r="N14" i="153"/>
  <c r="M18" i="153"/>
  <c r="E21" i="183"/>
  <c r="K38" i="202"/>
  <c r="I30" i="202"/>
  <c r="P16" i="150"/>
  <c r="M55" i="150"/>
  <c r="M49" i="150"/>
  <c r="M39" i="150"/>
  <c r="Y38" i="150"/>
  <c r="M41" i="150"/>
  <c r="M42" i="150"/>
  <c r="M40" i="150"/>
  <c r="M43" i="150"/>
  <c r="M33" i="150"/>
  <c r="M37" i="150"/>
  <c r="M34" i="150"/>
  <c r="M35" i="150"/>
  <c r="M23" i="150"/>
  <c r="Y22" i="150"/>
  <c r="M24" i="150"/>
  <c r="M28" i="150"/>
  <c r="V17" i="150"/>
  <c r="M19" i="150"/>
  <c r="M20" i="150"/>
  <c r="M21" i="150"/>
  <c r="U31" i="150"/>
  <c r="Q31" i="150"/>
  <c r="Q32" i="150"/>
  <c r="P22" i="150"/>
  <c r="U32" i="150"/>
  <c r="P31" i="150"/>
  <c r="E68" i="178"/>
  <c r="F28" i="140"/>
  <c r="G26" i="144"/>
  <c r="M16" i="153"/>
  <c r="J28" i="126"/>
  <c r="I36" i="126"/>
  <c r="I43" i="126"/>
  <c r="I41" i="126"/>
  <c r="K28" i="126"/>
  <c r="I42" i="126"/>
  <c r="I44" i="126"/>
  <c r="G36" i="126"/>
  <c r="L28" i="126"/>
  <c r="K36" i="126"/>
  <c r="H59" i="146"/>
  <c r="W45" i="146" s="1"/>
  <c r="G44" i="146" s="1"/>
  <c r="E38" i="194" s="1"/>
  <c r="P24" i="146"/>
  <c r="W5" i="146" s="1"/>
  <c r="G4" i="146" s="1"/>
  <c r="E37" i="194" s="1"/>
  <c r="E49" i="194"/>
  <c r="F66" i="143"/>
  <c r="H41" i="169"/>
  <c r="N88" i="172"/>
  <c r="G87" i="172" s="1"/>
  <c r="E72" i="194" s="1"/>
  <c r="N46" i="203"/>
  <c r="G45" i="203" s="1"/>
  <c r="E93" i="194" s="1"/>
  <c r="E9" i="203"/>
  <c r="E43" i="152"/>
  <c r="G41" i="169"/>
  <c r="E70" i="178"/>
  <c r="N28" i="206"/>
  <c r="G27" i="206" s="1"/>
  <c r="E100" i="194" s="1"/>
  <c r="F200" i="169"/>
  <c r="F65" i="143"/>
  <c r="G47" i="124"/>
  <c r="K37" i="178"/>
  <c r="I60" i="178"/>
  <c r="H64" i="178"/>
  <c r="H73" i="178" s="1"/>
  <c r="F21" i="140"/>
  <c r="G20" i="144"/>
  <c r="K43" i="152"/>
  <c r="K14" i="124"/>
  <c r="G48" i="124"/>
  <c r="Z22" i="155"/>
  <c r="F15" i="187"/>
  <c r="F105" i="169"/>
  <c r="F15" i="141"/>
  <c r="E15" i="202"/>
  <c r="H30" i="202"/>
  <c r="E9" i="202"/>
  <c r="F26" i="143"/>
  <c r="F20" i="143" s="1"/>
  <c r="H22" i="169"/>
  <c r="E7" i="208"/>
  <c r="M19" i="145"/>
  <c r="F25" i="141"/>
  <c r="F64" i="178"/>
  <c r="K40" i="202"/>
  <c r="G29" i="152"/>
  <c r="G59" i="152" s="1"/>
  <c r="G52" i="152"/>
  <c r="G43" i="152"/>
  <c r="J52" i="152"/>
  <c r="J44" i="152"/>
  <c r="S14" i="155"/>
  <c r="P14" i="155"/>
  <c r="Y14" i="155"/>
  <c r="R38" i="150"/>
  <c r="G48" i="186"/>
  <c r="I20" i="206"/>
  <c r="F14" i="207"/>
  <c r="E7" i="207"/>
  <c r="N5" i="210"/>
  <c r="G4" i="210" s="1"/>
  <c r="E108" i="194" s="1"/>
  <c r="H47" i="124"/>
  <c r="M38" i="178"/>
  <c r="I38" i="178"/>
  <c r="H89" i="144"/>
  <c r="G55" i="182"/>
  <c r="D55" i="182"/>
  <c r="G70" i="178"/>
  <c r="I21" i="124"/>
  <c r="M20" i="178"/>
  <c r="I20" i="178"/>
  <c r="V14" i="155"/>
  <c r="F49" i="209"/>
  <c r="N31" i="209" s="1"/>
  <c r="G30" i="209" s="1"/>
  <c r="E105" i="194" s="1"/>
  <c r="E7" i="209"/>
  <c r="N56" i="209" s="1"/>
  <c r="G55" i="209" s="1"/>
  <c r="E106" i="194" s="1"/>
  <c r="D43" i="186"/>
  <c r="D44" i="186"/>
  <c r="F14" i="186"/>
  <c r="M25" i="153"/>
  <c r="H70" i="178"/>
  <c r="J53" i="178"/>
  <c r="X14" i="155"/>
  <c r="L38" i="178"/>
  <c r="F53" i="116"/>
  <c r="E19" i="145"/>
  <c r="G30" i="169"/>
  <c r="F19" i="143"/>
  <c r="F11" i="143" s="1"/>
  <c r="F19" i="145"/>
  <c r="L20" i="145"/>
  <c r="H36" i="126"/>
  <c r="H28" i="126"/>
  <c r="E37" i="211"/>
  <c r="L37" i="126"/>
  <c r="G421" i="204"/>
  <c r="E97" i="194" s="1"/>
  <c r="V21" i="150" l="1"/>
  <c r="Y21" i="150"/>
  <c r="V35" i="150"/>
  <c r="Y35" i="150"/>
  <c r="V20" i="150"/>
  <c r="Y20" i="150"/>
  <c r="V34" i="150"/>
  <c r="Y34" i="150"/>
  <c r="V39" i="150"/>
  <c r="Y39" i="150"/>
  <c r="V19" i="150"/>
  <c r="Y19" i="150"/>
  <c r="V37" i="150"/>
  <c r="Y37" i="150"/>
  <c r="V42" i="150"/>
  <c r="Y42" i="150"/>
  <c r="V28" i="150"/>
  <c r="Y28" i="150"/>
  <c r="V43" i="150"/>
  <c r="Y43" i="150"/>
  <c r="V24" i="150"/>
  <c r="Y24" i="150"/>
  <c r="V40" i="150"/>
  <c r="Y40" i="150"/>
  <c r="V23" i="150"/>
  <c r="Y23" i="150"/>
  <c r="V33" i="150"/>
  <c r="Y33" i="150"/>
  <c r="V41" i="150"/>
  <c r="Y41" i="150"/>
  <c r="Z55" i="150"/>
  <c r="Y55" i="150"/>
  <c r="K43" i="124"/>
  <c r="L43" i="124"/>
  <c r="M48" i="150"/>
  <c r="Z48" i="150" s="1"/>
  <c r="Z49" i="150"/>
  <c r="C174" i="144"/>
  <c r="Y49" i="150"/>
  <c r="F59" i="152"/>
  <c r="P29" i="152"/>
  <c r="E70" i="150"/>
  <c r="E64" i="150"/>
  <c r="U33" i="211"/>
  <c r="F48" i="143"/>
  <c r="F27" i="140"/>
  <c r="M23" i="153" s="1"/>
  <c r="N5" i="202"/>
  <c r="G4" i="202" s="1"/>
  <c r="E89" i="194" s="1"/>
  <c r="Q5" i="182"/>
  <c r="G4" i="182" s="1"/>
  <c r="E30" i="194" s="1"/>
  <c r="F75" i="143"/>
  <c r="F77" i="143" s="1"/>
  <c r="F81" i="143" s="1"/>
  <c r="N5" i="183"/>
  <c r="F77" i="124"/>
  <c r="O5" i="126"/>
  <c r="G4" i="126" s="1"/>
  <c r="E29" i="194" s="1"/>
  <c r="L60" i="178"/>
  <c r="K60" i="178"/>
  <c r="V18" i="150"/>
  <c r="Y18" i="150"/>
  <c r="G8" i="172"/>
  <c r="H11" i="143" s="1"/>
  <c r="N170" i="169"/>
  <c r="G169" i="169" s="1"/>
  <c r="E61" i="194" s="1"/>
  <c r="W32" i="155"/>
  <c r="Z22" i="150"/>
  <c r="V22" i="150"/>
  <c r="V49" i="150"/>
  <c r="V38" i="150"/>
  <c r="V55" i="150"/>
  <c r="H64" i="145"/>
  <c r="F73" i="178"/>
  <c r="E59" i="152"/>
  <c r="L64" i="150"/>
  <c r="L70" i="150"/>
  <c r="F64" i="150"/>
  <c r="Q64" i="150" s="1"/>
  <c r="P64" i="150"/>
  <c r="N5" i="187"/>
  <c r="G4" i="187" s="1"/>
  <c r="E83" i="194" s="1"/>
  <c r="N5" i="186"/>
  <c r="G4" i="186" s="1"/>
  <c r="E85" i="194" s="1"/>
  <c r="N40" i="210"/>
  <c r="G39" i="210" s="1"/>
  <c r="E110" i="194" s="1"/>
  <c r="M24" i="153"/>
  <c r="L22" i="152"/>
  <c r="G11" i="143"/>
  <c r="R31" i="150"/>
  <c r="E77" i="124"/>
  <c r="F19" i="140"/>
  <c r="G19" i="140" s="1"/>
  <c r="Q32" i="155"/>
  <c r="U32" i="155"/>
  <c r="M51" i="152"/>
  <c r="J64" i="178"/>
  <c r="G77" i="124"/>
  <c r="S33" i="211"/>
  <c r="F63" i="145"/>
  <c r="L63" i="145" s="1"/>
  <c r="F21" i="141"/>
  <c r="L19" i="145"/>
  <c r="I18" i="206"/>
  <c r="N5" i="206" s="1"/>
  <c r="G15" i="141"/>
  <c r="M33" i="153"/>
  <c r="P32" i="155"/>
  <c r="R32" i="155"/>
  <c r="I37" i="178"/>
  <c r="M37" i="178"/>
  <c r="G64" i="178"/>
  <c r="G73" i="178" s="1"/>
  <c r="F68" i="178"/>
  <c r="L64" i="178"/>
  <c r="E63" i="145"/>
  <c r="K63" i="145" s="1"/>
  <c r="K15" i="145"/>
  <c r="F17" i="141"/>
  <c r="K19" i="145"/>
  <c r="G11" i="207"/>
  <c r="G17" i="207"/>
  <c r="G18" i="207"/>
  <c r="G13" i="207"/>
  <c r="G12" i="207"/>
  <c r="G14" i="207"/>
  <c r="G15" i="207"/>
  <c r="G19" i="207"/>
  <c r="G16" i="207"/>
  <c r="M22" i="152"/>
  <c r="F24" i="141"/>
  <c r="D55" i="141"/>
  <c r="G20" i="143"/>
  <c r="M17" i="153"/>
  <c r="N5" i="203" l="1"/>
  <c r="G4" i="203" s="1"/>
  <c r="E92" i="194" s="1"/>
  <c r="E146" i="169"/>
  <c r="N130" i="169" s="1"/>
  <c r="G129" i="169" s="1"/>
  <c r="E59" i="194" s="1"/>
  <c r="H33" i="144"/>
  <c r="H26" i="141"/>
  <c r="H22" i="141"/>
  <c r="H16" i="141"/>
  <c r="E106" i="169"/>
  <c r="N92" i="169" s="1"/>
  <c r="G91" i="169" s="1"/>
  <c r="E57" i="194" s="1"/>
  <c r="H25" i="141"/>
  <c r="H19" i="141"/>
  <c r="F44" i="169"/>
  <c r="H30" i="141"/>
  <c r="H24" i="141"/>
  <c r="H15" i="141"/>
  <c r="E43" i="169"/>
  <c r="H27" i="141"/>
  <c r="H23" i="141"/>
  <c r="H18" i="141"/>
  <c r="H28" i="141"/>
  <c r="Y48" i="150"/>
  <c r="V48" i="150"/>
  <c r="F20" i="141"/>
  <c r="H21" i="141"/>
  <c r="M35" i="153"/>
  <c r="H17" i="141"/>
  <c r="H14" i="140"/>
  <c r="R22" i="152"/>
  <c r="E122" i="169"/>
  <c r="N111" i="169" s="1"/>
  <c r="G110" i="169" s="1"/>
  <c r="Y155" i="144"/>
  <c r="E63" i="169"/>
  <c r="N50" i="169" s="1"/>
  <c r="G49" i="169" s="1"/>
  <c r="E55" i="194" s="1"/>
  <c r="Y148" i="144"/>
  <c r="H56" i="143"/>
  <c r="D44" i="141"/>
  <c r="F14" i="141"/>
  <c r="G27" i="140"/>
  <c r="H41" i="143"/>
  <c r="H50" i="140"/>
  <c r="H49" i="140"/>
  <c r="H46" i="140"/>
  <c r="D47" i="141"/>
  <c r="D46" i="141"/>
  <c r="D45" i="141"/>
  <c r="H16" i="140"/>
  <c r="V32" i="150"/>
  <c r="Y32" i="150"/>
  <c r="N5" i="155"/>
  <c r="G4" i="155" s="1"/>
  <c r="E52" i="194" s="1"/>
  <c r="G81" i="143"/>
  <c r="M57" i="152"/>
  <c r="M78" i="152"/>
  <c r="M79" i="152"/>
  <c r="M77" i="152"/>
  <c r="L79" i="152"/>
  <c r="L77" i="152"/>
  <c r="L44" i="152"/>
  <c r="L78" i="152"/>
  <c r="V16" i="150"/>
  <c r="Y16" i="150"/>
  <c r="H44" i="143"/>
  <c r="H66" i="143"/>
  <c r="O5" i="208"/>
  <c r="G4" i="208" s="1"/>
  <c r="E102" i="194" s="1"/>
  <c r="H76" i="143"/>
  <c r="H74" i="143"/>
  <c r="H46" i="143"/>
  <c r="H45" i="143"/>
  <c r="H77" i="143"/>
  <c r="H33" i="143"/>
  <c r="H48" i="143"/>
  <c r="H72" i="143"/>
  <c r="H78" i="143"/>
  <c r="H20" i="143"/>
  <c r="H62" i="143"/>
  <c r="H73" i="143"/>
  <c r="H43" i="140"/>
  <c r="H31" i="140"/>
  <c r="H34" i="140"/>
  <c r="I89" i="144"/>
  <c r="I63" i="144"/>
  <c r="I46" i="144"/>
  <c r="H20" i="144"/>
  <c r="P63" i="145"/>
  <c r="N15" i="145"/>
  <c r="Q63" i="145"/>
  <c r="P19" i="145"/>
  <c r="Q15" i="145"/>
  <c r="H19" i="140"/>
  <c r="H22" i="140"/>
  <c r="H28" i="140"/>
  <c r="H24" i="140"/>
  <c r="H30" i="140"/>
  <c r="H36" i="140"/>
  <c r="H35" i="140"/>
  <c r="I56" i="144"/>
  <c r="H16" i="144"/>
  <c r="Y114" i="144"/>
  <c r="P54" i="145"/>
  <c r="O62" i="145"/>
  <c r="N16" i="145"/>
  <c r="N54" i="145"/>
  <c r="F72" i="178"/>
  <c r="H37" i="140"/>
  <c r="H65" i="143"/>
  <c r="H52" i="143"/>
  <c r="H43" i="143"/>
  <c r="H40" i="140"/>
  <c r="H59" i="143"/>
  <c r="H26" i="140"/>
  <c r="H25" i="140"/>
  <c r="Y121" i="144"/>
  <c r="Y104" i="144"/>
  <c r="I76" i="144"/>
  <c r="I50" i="144"/>
  <c r="N62" i="145"/>
  <c r="N19" i="145"/>
  <c r="P62" i="145"/>
  <c r="O54" i="145"/>
  <c r="G29" i="140"/>
  <c r="H15" i="140"/>
  <c r="H20" i="140"/>
  <c r="H27" i="140"/>
  <c r="H17" i="140"/>
  <c r="H42" i="143"/>
  <c r="H35" i="143"/>
  <c r="H34" i="143"/>
  <c r="H27" i="143"/>
  <c r="H49" i="143"/>
  <c r="H28" i="143"/>
  <c r="H47" i="143"/>
  <c r="H40" i="143"/>
  <c r="H75" i="143"/>
  <c r="H39" i="140"/>
  <c r="H23" i="140"/>
  <c r="H33" i="140"/>
  <c r="H32" i="140"/>
  <c r="H26" i="144"/>
  <c r="H15" i="144"/>
  <c r="Y142" i="144"/>
  <c r="Y108" i="144"/>
  <c r="I82" i="144"/>
  <c r="N63" i="145"/>
  <c r="E87" i="169"/>
  <c r="N69" i="169" s="1"/>
  <c r="G68" i="169" s="1"/>
  <c r="E56" i="194" s="1"/>
  <c r="O19" i="145"/>
  <c r="E72" i="178"/>
  <c r="O63" i="145"/>
  <c r="H38" i="140"/>
  <c r="H21" i="140"/>
  <c r="L51" i="152"/>
  <c r="L57" i="152"/>
  <c r="M72" i="150"/>
  <c r="Z16" i="150"/>
  <c r="Z32" i="150"/>
  <c r="M64" i="178"/>
  <c r="G68" i="178"/>
  <c r="N22" i="202"/>
  <c r="G21" i="202" s="1"/>
  <c r="E90" i="194" s="1"/>
  <c r="M29" i="152"/>
  <c r="M64" i="152" s="1"/>
  <c r="G24" i="141"/>
  <c r="D57" i="141"/>
  <c r="N5" i="207"/>
  <c r="G4" i="207" s="1"/>
  <c r="E101" i="194" s="1"/>
  <c r="G4" i="183"/>
  <c r="E48" i="194" s="1"/>
  <c r="E7" i="211"/>
  <c r="M15" i="153"/>
  <c r="F18" i="140"/>
  <c r="M39" i="153"/>
  <c r="D52" i="141"/>
  <c r="M43" i="152"/>
  <c r="G4" i="206"/>
  <c r="E99" i="194" s="1"/>
  <c r="L29" i="152"/>
  <c r="L64" i="152" s="1"/>
  <c r="I64" i="178"/>
  <c r="N5" i="124"/>
  <c r="G4" i="124" s="1"/>
  <c r="E39" i="194" s="1"/>
  <c r="M38" i="153" l="1"/>
  <c r="H20" i="141"/>
  <c r="F54" i="116"/>
  <c r="H54" i="116" s="1"/>
  <c r="M32" i="153"/>
  <c r="H14" i="141"/>
  <c r="M14" i="153"/>
  <c r="G18" i="140"/>
  <c r="H18" i="140"/>
  <c r="F43" i="141"/>
  <c r="D48" i="141" s="1"/>
  <c r="F51" i="140"/>
  <c r="H51" i="140" s="1"/>
  <c r="H81" i="143"/>
  <c r="N5" i="143" s="1"/>
  <c r="G4" i="143" s="1"/>
  <c r="E20" i="194" s="1"/>
  <c r="V31" i="150"/>
  <c r="Y31" i="150"/>
  <c r="N5" i="169"/>
  <c r="G4" i="169" s="1"/>
  <c r="E54" i="194" s="1"/>
  <c r="N5" i="152"/>
  <c r="G4" i="152" s="1"/>
  <c r="E32" i="194" s="1"/>
  <c r="Y15" i="150"/>
  <c r="N95" i="144"/>
  <c r="G94" i="144" s="1"/>
  <c r="E26" i="194" s="1"/>
  <c r="N132" i="144"/>
  <c r="G131" i="144" s="1"/>
  <c r="E27" i="194" s="1"/>
  <c r="N5" i="144"/>
  <c r="G4" i="144" s="1"/>
  <c r="E23" i="194" s="1"/>
  <c r="N5" i="145"/>
  <c r="G4" i="145" s="1"/>
  <c r="E34" i="194" s="1"/>
  <c r="N5" i="178"/>
  <c r="G4" i="178" s="1"/>
  <c r="E41" i="194" s="1"/>
  <c r="N69" i="144"/>
  <c r="G68" i="144" s="1"/>
  <c r="E25" i="194" s="1"/>
  <c r="N39" i="144"/>
  <c r="G38" i="144" s="1"/>
  <c r="E24" i="194" s="1"/>
  <c r="M64" i="150"/>
  <c r="Z31" i="150"/>
  <c r="M70" i="150"/>
  <c r="N164" i="144"/>
  <c r="G163" i="144" s="1"/>
  <c r="E28" i="194" s="1"/>
  <c r="D54" i="141"/>
  <c r="G20" i="141"/>
  <c r="G14" i="141"/>
  <c r="C57" i="116" l="1"/>
  <c r="V64" i="150"/>
  <c r="Y64" i="150"/>
  <c r="N5" i="153"/>
  <c r="G4" i="153" s="1"/>
  <c r="E51" i="194" s="1"/>
  <c r="C56" i="116"/>
  <c r="N5" i="141"/>
  <c r="G4" i="141" s="1"/>
  <c r="E18" i="194" s="1"/>
  <c r="N5" i="211"/>
  <c r="G4" i="211" s="1"/>
  <c r="E111" i="194" s="1"/>
  <c r="G51" i="140"/>
  <c r="N5" i="168" l="1"/>
  <c r="G4" i="168" s="1"/>
  <c r="E21" i="194" s="1"/>
  <c r="P5" i="150"/>
  <c r="G4" i="150" s="1"/>
  <c r="E45" i="194" s="1"/>
  <c r="N5" i="140"/>
  <c r="G4" i="140" s="1"/>
  <c r="E17" i="194" s="1"/>
  <c r="N5" i="116"/>
  <c r="G4" i="116" s="1"/>
  <c r="E19" i="194" s="1"/>
  <c r="E14" i="194" l="1"/>
  <c r="G4" i="194" s="1"/>
</calcChain>
</file>

<file path=xl/sharedStrings.xml><?xml version="1.0" encoding="utf-8"?>
<sst xmlns="http://schemas.openxmlformats.org/spreadsheetml/2006/main" count="6246" uniqueCount="2262">
  <si>
    <t>IAS 32.35</t>
  </si>
  <si>
    <t>IAS 19.7; IAS 1.102, IG 6</t>
  </si>
  <si>
    <t>IAS 1.102, IG 6; IFRS 5.33 A</t>
  </si>
  <si>
    <t>IAS 1, IG 6</t>
  </si>
  <si>
    <t>Financial liabilities measured at amortised cost</t>
  </si>
  <si>
    <t>Derivatives – Hedge accounting</t>
  </si>
  <si>
    <t>Provisions</t>
  </si>
  <si>
    <t>Restructuring</t>
  </si>
  <si>
    <t>Pending legal issues and tax litigation</t>
  </si>
  <si>
    <t>Other provisions</t>
  </si>
  <si>
    <t xml:space="preserve">Tax liabilities </t>
  </si>
  <si>
    <t>Current tax liabilities</t>
  </si>
  <si>
    <t>Deferred tax liabilities</t>
  </si>
  <si>
    <t xml:space="preserve">Other liabilities </t>
  </si>
  <si>
    <t>Liabilities included in disposal groups classified as held for sale</t>
  </si>
  <si>
    <t xml:space="preserve">Deposits </t>
  </si>
  <si>
    <t>IFRIC 2.11</t>
  </si>
  <si>
    <t>Attributable to minority interest [non-controlling interests]</t>
  </si>
  <si>
    <t>(Financial liabilities measured at amortised cost)</t>
  </si>
  <si>
    <t>(Derivatives - Hedge accounting, interest rate risk)</t>
  </si>
  <si>
    <t>(Expenses on share capital repayable on demand)</t>
  </si>
  <si>
    <t>(Other operating expenses)</t>
  </si>
  <si>
    <t>(Staff expenses)</t>
  </si>
  <si>
    <t>(Depreciation)</t>
  </si>
  <si>
    <t>(Property, Plant and Equipment)</t>
  </si>
  <si>
    <t>(Investment Properties)</t>
  </si>
  <si>
    <t>(Property, plant and equipment)</t>
  </si>
  <si>
    <t>(Investment properties)</t>
  </si>
  <si>
    <t>(Goodwill)</t>
  </si>
  <si>
    <t>(Other)</t>
  </si>
  <si>
    <t>IAS 21.28, 52 (a)</t>
  </si>
  <si>
    <t>IAS 1.102, 104</t>
  </si>
  <si>
    <t>Debt securities issued</t>
  </si>
  <si>
    <t xml:space="preserve">Foreign currency translation </t>
  </si>
  <si>
    <t>IAS 38.8,118</t>
  </si>
  <si>
    <t>Other items</t>
  </si>
  <si>
    <t>IAS 37.Appendix C. Examples 6 and 10</t>
  </si>
  <si>
    <t>Unpaid capital which has been called up</t>
  </si>
  <si>
    <t>Share premium</t>
  </si>
  <si>
    <t>Equity component of compound financial instruments</t>
  </si>
  <si>
    <t>Minority interests [Non-controlling interests]</t>
  </si>
  <si>
    <t xml:space="preserve">Derivatives - Hedge accounting, interest rate risk </t>
  </si>
  <si>
    <t>Dividend income</t>
  </si>
  <si>
    <t>Fee and commission income</t>
  </si>
  <si>
    <t xml:space="preserve">Other </t>
  </si>
  <si>
    <t>IAS 1.34</t>
  </si>
  <si>
    <t xml:space="preserve">Other operating income </t>
  </si>
  <si>
    <t>(Other intangible assets)</t>
  </si>
  <si>
    <t xml:space="preserve">Other financial liabilities </t>
  </si>
  <si>
    <t>IAS 1.9(b);IG 6</t>
  </si>
  <si>
    <t>IFRS 5.38, IG Example 12</t>
  </si>
  <si>
    <t>IAS 1.IG6</t>
  </si>
  <si>
    <t>IAS 16.39-41</t>
  </si>
  <si>
    <t>IAS 38.85-87</t>
  </si>
  <si>
    <t>Current period</t>
  </si>
  <si>
    <t>Debt securities</t>
  </si>
  <si>
    <t>Cash on hand</t>
  </si>
  <si>
    <t>Carrying amount</t>
  </si>
  <si>
    <t xml:space="preserve">Financial assets held for trading </t>
  </si>
  <si>
    <t>Equity instruments</t>
  </si>
  <si>
    <t>IAS 32.11</t>
  </si>
  <si>
    <t>Loans and advances</t>
  </si>
  <si>
    <t>Financial assets designated at fair value through profit or loss</t>
  </si>
  <si>
    <t xml:space="preserve">Equity instruments </t>
  </si>
  <si>
    <t>Tangible assets</t>
  </si>
  <si>
    <t>Property, Plant and Equipment</t>
  </si>
  <si>
    <t xml:space="preserve">Investment property </t>
  </si>
  <si>
    <t>Intangible assets</t>
  </si>
  <si>
    <t>Goodwill</t>
  </si>
  <si>
    <t>Other intangible assets</t>
  </si>
  <si>
    <t>(Fee and commission expenses)</t>
  </si>
  <si>
    <t xml:space="preserve">Tax assets </t>
  </si>
  <si>
    <t>Current tax assets</t>
  </si>
  <si>
    <t xml:space="preserve">Deferred tax assets </t>
  </si>
  <si>
    <t xml:space="preserve">Other assets </t>
  </si>
  <si>
    <t>Non-current assets and disposal groups classified as held for sale</t>
  </si>
  <si>
    <t>Financial liabilities held for trading</t>
  </si>
  <si>
    <t xml:space="preserve">Short positions </t>
  </si>
  <si>
    <t>Paid up capital</t>
  </si>
  <si>
    <t>Revaluation reserves</t>
  </si>
  <si>
    <t>By product or by type of market</t>
  </si>
  <si>
    <t>Notional amount</t>
  </si>
  <si>
    <t>Total</t>
  </si>
  <si>
    <t>Interest rate</t>
  </si>
  <si>
    <t>OTC options</t>
  </si>
  <si>
    <t>OTC other</t>
  </si>
  <si>
    <t>Organized market options</t>
  </si>
  <si>
    <t>Organized market other</t>
  </si>
  <si>
    <t>Equity</t>
  </si>
  <si>
    <t>Credit</t>
  </si>
  <si>
    <t>Credit default swap</t>
  </si>
  <si>
    <t>Credit spread option</t>
  </si>
  <si>
    <t>Total return swap</t>
  </si>
  <si>
    <t>Other</t>
  </si>
  <si>
    <t>Commodity</t>
  </si>
  <si>
    <t>of which: OTC - credit institutions</t>
  </si>
  <si>
    <t>of which: OTC - other financial corporations</t>
  </si>
  <si>
    <t>of which: OTC - rest</t>
  </si>
  <si>
    <t>of which: economic hedges</t>
  </si>
  <si>
    <t>Central banks</t>
  </si>
  <si>
    <t>General governments</t>
  </si>
  <si>
    <t>Credit institutions</t>
  </si>
  <si>
    <t>Other financial corporations</t>
  </si>
  <si>
    <t>of which: credit institutions</t>
  </si>
  <si>
    <t>of which: other financial corporations</t>
  </si>
  <si>
    <t>of which: non-financial corporations</t>
  </si>
  <si>
    <t>On demand [call] and short notice [current account]</t>
  </si>
  <si>
    <t>Other collateralized loans</t>
  </si>
  <si>
    <t>Trade receivables</t>
  </si>
  <si>
    <t>Finance leases</t>
  </si>
  <si>
    <t>Reverse repurchase loans</t>
  </si>
  <si>
    <t>Other term loans</t>
  </si>
  <si>
    <t>Fair value changes of the hedged items in portfolio hedge of interest rate risk</t>
  </si>
  <si>
    <t>Financial liabilities designated at fair value through profit or loss</t>
  </si>
  <si>
    <t>Share capital repayable on demand</t>
  </si>
  <si>
    <t>Breakdown in table</t>
  </si>
  <si>
    <t>Retained earnings</t>
  </si>
  <si>
    <t>Amount of cumulative change in fair values attributable to changes in credit risk</t>
  </si>
  <si>
    <t>Held for trading</t>
  </si>
  <si>
    <t>Designated at fair value through profit or loss</t>
  </si>
  <si>
    <t>Amortised cost</t>
  </si>
  <si>
    <t>Derivatives</t>
  </si>
  <si>
    <t>Short positions</t>
  </si>
  <si>
    <t>Current accounts / overnight deposits</t>
  </si>
  <si>
    <t xml:space="preserve">Deposits with agreed maturity </t>
  </si>
  <si>
    <t xml:space="preserve">Deposits redeemable at notice </t>
  </si>
  <si>
    <t>Repurchase agreements</t>
  </si>
  <si>
    <t>Non-financial corporations</t>
  </si>
  <si>
    <t>Households</t>
  </si>
  <si>
    <t>Certificates of deposits</t>
  </si>
  <si>
    <t>IAS 32.AG 31</t>
  </si>
  <si>
    <t>Non-convertible</t>
  </si>
  <si>
    <t>Other financial liabilities</t>
  </si>
  <si>
    <t>Loan commitments given</t>
  </si>
  <si>
    <t>Financial guarantees given</t>
  </si>
  <si>
    <t>Other Commitments given</t>
  </si>
  <si>
    <t>Loan commitments received</t>
  </si>
  <si>
    <t>Other assets</t>
  </si>
  <si>
    <t>(Other liabilities)</t>
  </si>
  <si>
    <t>Interest income</t>
  </si>
  <si>
    <t>Assets</t>
  </si>
  <si>
    <t>Liabilities</t>
  </si>
  <si>
    <t>Cash balances at central banks</t>
  </si>
  <si>
    <t>of which: sold</t>
  </si>
  <si>
    <t>Guarantees and collateral</t>
  </si>
  <si>
    <t>Residential</t>
  </si>
  <si>
    <t>Commercial</t>
  </si>
  <si>
    <t>Rest</t>
  </si>
  <si>
    <t>of which: Other financial corporations</t>
  </si>
  <si>
    <t>Accumulated impairment</t>
  </si>
  <si>
    <t>IAS 36.126(a),(b)</t>
  </si>
  <si>
    <t>Property, plant and equipment</t>
  </si>
  <si>
    <t xml:space="preserve">Investment properties    </t>
  </si>
  <si>
    <t>Subsidiaries</t>
  </si>
  <si>
    <t>Joint ventures</t>
  </si>
  <si>
    <t>Associates</t>
  </si>
  <si>
    <t>Opening balance</t>
  </si>
  <si>
    <t>Closing balance</t>
  </si>
  <si>
    <t>Non-current assets held-for-sale</t>
  </si>
  <si>
    <t>Investment property</t>
  </si>
  <si>
    <t>Equity and debt instruments</t>
  </si>
  <si>
    <t>Foreclosure [tangible assets]</t>
  </si>
  <si>
    <t>≤ 30 days</t>
  </si>
  <si>
    <t>Asset-backed securities</t>
  </si>
  <si>
    <t xml:space="preserve">Covered bonds </t>
  </si>
  <si>
    <t>Hybrid contracts</t>
  </si>
  <si>
    <t>Fair value</t>
  </si>
  <si>
    <t>Level 1</t>
  </si>
  <si>
    <t>Level 2</t>
  </si>
  <si>
    <t>Level 3</t>
  </si>
  <si>
    <t>ASSETS</t>
  </si>
  <si>
    <t xml:space="preserve">Derivatives – Hedge accounting </t>
  </si>
  <si>
    <t>LIABILITIES</t>
  </si>
  <si>
    <t xml:space="preserve">Financial liabilities designated at fair value through profit or loss </t>
  </si>
  <si>
    <t>Amounts derecognised for capital purposes</t>
  </si>
  <si>
    <r>
      <t>Of which: securitization</t>
    </r>
    <r>
      <rPr>
        <b/>
        <sz val="8"/>
        <color indexed="10"/>
        <rFont val="Verdana"/>
        <family val="2"/>
      </rPr>
      <t>s</t>
    </r>
  </si>
  <si>
    <t>Of which: repurchase agreements</t>
  </si>
  <si>
    <t xml:space="preserve">Property plant and equipment </t>
  </si>
  <si>
    <t>IAS 17.49; IAS 40.33-55, 76</t>
  </si>
  <si>
    <t>IAS 38.8, 118</t>
  </si>
  <si>
    <t>IAS 17.49; IAS 38.74</t>
  </si>
  <si>
    <t>Gross carrying amount</t>
  </si>
  <si>
    <t>A Agriculture, forestry and fishing</t>
  </si>
  <si>
    <t>B Mining and quarrying</t>
  </si>
  <si>
    <t>C Manufacturing</t>
  </si>
  <si>
    <t>D Electricity, gas, steam and air conditioning supply</t>
  </si>
  <si>
    <t>E Water supply</t>
  </si>
  <si>
    <t>F Construction</t>
  </si>
  <si>
    <t>G Wholesale and retail trade</t>
  </si>
  <si>
    <t>H Transport ans storage</t>
  </si>
  <si>
    <t>I Accommodation and food service activities</t>
  </si>
  <si>
    <t>J Information and communication</t>
  </si>
  <si>
    <t>L Real estate activities</t>
  </si>
  <si>
    <t xml:space="preserve">Tangible assets </t>
  </si>
  <si>
    <t xml:space="preserve">Intangible assets </t>
  </si>
  <si>
    <t>Hedge of net investments in foreign operations [effective portion]</t>
  </si>
  <si>
    <t>Non-current assets and disposal groups held for sale</t>
  </si>
  <si>
    <t>Total comprehensive income for the year</t>
  </si>
  <si>
    <t>Other comprehensive income</t>
  </si>
  <si>
    <t>IAS 1.7; IAS 38.85-86</t>
  </si>
  <si>
    <t>Transferred to profit or loss</t>
  </si>
  <si>
    <t>Other reclassifications</t>
  </si>
  <si>
    <t>IAS 21.32, 38-47</t>
  </si>
  <si>
    <t>Cash flow hedges [effective portion]</t>
  </si>
  <si>
    <t>Transferred to initial carrying amount of hedged items</t>
  </si>
  <si>
    <t>IFRS 5.IG Example 12</t>
  </si>
  <si>
    <t>IFRS 5.38</t>
  </si>
  <si>
    <t>Share of other recognised income and expense of entities accounted for using the equity method</t>
  </si>
  <si>
    <t>Attributable to minority interest [Non-controlling interest]</t>
  </si>
  <si>
    <t>Capital</t>
  </si>
  <si>
    <t>Income</t>
  </si>
  <si>
    <t>Expenses</t>
  </si>
  <si>
    <t>Other Liabilities</t>
  </si>
  <si>
    <t xml:space="preserve">Interest rate instruments and related derivatives </t>
  </si>
  <si>
    <t>Equity instruments and related derivatives</t>
  </si>
  <si>
    <t>Credit risk instruments and related derivatives</t>
  </si>
  <si>
    <t xml:space="preserve">Financial assets designated at fair value through profit or loss </t>
  </si>
  <si>
    <t>Fair value changes of the hedging instrument [including discontinuation]</t>
  </si>
  <si>
    <t>Fair value changes of the hedged item attributable to the hedged risk</t>
  </si>
  <si>
    <t xml:space="preserve">Ineffectiveness in profit or loss from hedges of net investments in foreign operations </t>
  </si>
  <si>
    <t>Other operating income and expenses</t>
  </si>
  <si>
    <t xml:space="preserve">Fee and commission income </t>
  </si>
  <si>
    <t>Securities</t>
  </si>
  <si>
    <t>Transfer orders</t>
  </si>
  <si>
    <t>Clearing and settlement</t>
  </si>
  <si>
    <t>Asset management</t>
  </si>
  <si>
    <t>Custody [by type of customer]</t>
  </si>
  <si>
    <t>Collective investment</t>
  </si>
  <si>
    <t>Fiduciary transactions</t>
  </si>
  <si>
    <t>Payment services</t>
  </si>
  <si>
    <t>Customer resources distributed but not managed [by type of product]</t>
  </si>
  <si>
    <t>Insurance products</t>
  </si>
  <si>
    <t>Structured Finance</t>
  </si>
  <si>
    <t xml:space="preserve">(Fee and commission expenses) </t>
  </si>
  <si>
    <t>(Clearing and settlement)</t>
  </si>
  <si>
    <t>(Custody)</t>
  </si>
  <si>
    <t>Asset management [by type of customer]</t>
  </si>
  <si>
    <t>Pension funds</t>
  </si>
  <si>
    <t>Customer portfolios managed on a discretionary basis</t>
  </si>
  <si>
    <t>Other investment vehicles</t>
  </si>
  <si>
    <t>Custody assets [by type of customer]</t>
  </si>
  <si>
    <t>Of which: entrusted to other entities</t>
  </si>
  <si>
    <t>Customer resources distributed but not managed  [by type of product]</t>
  </si>
  <si>
    <t>(Interest expenses)</t>
  </si>
  <si>
    <t>Domestic activitivies</t>
  </si>
  <si>
    <t>Non-domestic activities</t>
  </si>
  <si>
    <t>(Administrative expenses)</t>
  </si>
  <si>
    <t>Negative goodwill recognised in profit or loss</t>
  </si>
  <si>
    <t>Income tax relating to items that will not be reclassified</t>
  </si>
  <si>
    <t>M Professional, scientific and technical activities</t>
  </si>
  <si>
    <t>N Administrative and support service activities</t>
  </si>
  <si>
    <t>O Public administration and defence, compulsory social security</t>
  </si>
  <si>
    <t>P Education</t>
  </si>
  <si>
    <t>Q Human health services and social work activities</t>
  </si>
  <si>
    <t>R Arts, entertainment and recreation</t>
  </si>
  <si>
    <t>S Other services</t>
  </si>
  <si>
    <t>Items that will not be reclassified to profit or loss</t>
  </si>
  <si>
    <t>Items that may be reclassified to profit or loss</t>
  </si>
  <si>
    <t>Balance Sheet Statement: assets</t>
  </si>
  <si>
    <t>Balance Sheet Statement: liabilities</t>
  </si>
  <si>
    <t>Balance Sheet Statement: equity</t>
  </si>
  <si>
    <t>Loan commitments, financial guarantees and other commitments</t>
  </si>
  <si>
    <t>Loan commitments, financial guarantees and other commitments received</t>
  </si>
  <si>
    <t>Fair value hierarchy: financial instruments at fair value</t>
  </si>
  <si>
    <t xml:space="preserve">Geographical breakdown of assets by residence of the counterparty   </t>
  </si>
  <si>
    <t>Geographical breakdown of assets by location of the activities</t>
  </si>
  <si>
    <t>Geographical breakdown of liabilities by location of the activities</t>
  </si>
  <si>
    <t>Fee and commission income and expenses by activity</t>
  </si>
  <si>
    <t>Statement of comprehensive income</t>
  </si>
  <si>
    <t>Statement of changes in equity</t>
  </si>
  <si>
    <t>Collateral and guarantees received</t>
  </si>
  <si>
    <t>Fair value hierarchy: financial instruments at amortised cost</t>
  </si>
  <si>
    <t>Use of the Fair Value Option</t>
  </si>
  <si>
    <t>Tangible and intangible assets: assets subject to operating lease</t>
  </si>
  <si>
    <t>Defined benefit plans and employee benefits</t>
  </si>
  <si>
    <t>Movements in defined benefit plan obligations</t>
  </si>
  <si>
    <t>Memo items [related to staff expenses]</t>
  </si>
  <si>
    <t>Subordinated financial liabilities</t>
  </si>
  <si>
    <t>Related parties: amounts payable to and amounts receivable from</t>
  </si>
  <si>
    <t>(Other provisions)</t>
  </si>
  <si>
    <t xml:space="preserve">Profit or (-) loss before tax from discontinued operations    </t>
  </si>
  <si>
    <t>(Tax expense or (-) income related to discontinued operations)</t>
  </si>
  <si>
    <t>Gains or (-) losses on financial assets and liabilities held for trading, net</t>
  </si>
  <si>
    <t>Gains or (-) losses on financial assets and liabilities designated at fair value through profit or loss, net</t>
  </si>
  <si>
    <t xml:space="preserve">Gains or (-) losses from hedge accounting, net </t>
  </si>
  <si>
    <t>Exchange differences [gain or (-) loss], net</t>
  </si>
  <si>
    <t>(Provisions or (-) reversal of provisions)</t>
  </si>
  <si>
    <t>Share of the profit or (-) loss of investments in subsidaries, joint ventures and associates</t>
  </si>
  <si>
    <t xml:space="preserve">Profit or (-) loss from non-current assets and disposal groups classified as held for sale not qualifying as discontinued operations    </t>
  </si>
  <si>
    <t>(Tax expense or (-) income related to profit or loss from continuing operations)</t>
  </si>
  <si>
    <t xml:space="preserve">Profit or (-) loss after tax from discontinued operations    </t>
  </si>
  <si>
    <t xml:space="preserve">Profit or (-) loss for the year 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</si>
  <si>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</si>
  <si>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</si>
  <si>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</si>
  <si>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</si>
  <si>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</si>
  <si>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</si>
  <si>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</si>
  <si>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</si>
  <si>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</si>
  <si>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</si>
  <si>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</si>
  <si>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</si>
  <si>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</si>
  <si>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</si>
  <si>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</si>
  <si>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</si>
  <si>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</si>
  <si>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</si>
  <si>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</si>
  <si>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</si>
  <si>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</si>
  <si>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</si>
  <si>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</si>
  <si>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</si>
  <si>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</si>
  <si>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</si>
  <si>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</si>
  <si>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</si>
  <si>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</si>
  <si>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300</t>
  </si>
  <si>
    <t>310</t>
  </si>
  <si>
    <t>330</t>
  </si>
  <si>
    <t>360</t>
  </si>
  <si>
    <t>370</t>
  </si>
  <si>
    <t>380</t>
  </si>
  <si>
    <t>390</t>
  </si>
  <si>
    <t>400</t>
  </si>
  <si>
    <t>410</t>
  </si>
  <si>
    <t>420</t>
  </si>
  <si>
    <t>430</t>
  </si>
  <si>
    <t>450</t>
  </si>
  <si>
    <t>460</t>
  </si>
  <si>
    <t>510</t>
  </si>
  <si>
    <t>520</t>
  </si>
  <si>
    <t>530</t>
  </si>
  <si>
    <t>540</t>
  </si>
  <si>
    <t>550</t>
  </si>
  <si>
    <t>Accumulated Other Comprehensive Income</t>
  </si>
  <si>
    <t>Hedging derivatives. Cash flow hedges [effective portion]</t>
  </si>
  <si>
    <t>Share of other recognised income and expense of investments in subsidaries, joint ventures and associates</t>
  </si>
  <si>
    <t xml:space="preserve">Other reserves </t>
  </si>
  <si>
    <t>Reserves or accumulated losses of investments in subsidaries, joint ventures and associates</t>
  </si>
  <si>
    <t>(-) Treasury shares</t>
  </si>
  <si>
    <t>(-) Interim dividends</t>
  </si>
  <si>
    <r>
      <t xml:space="preserve">Financial assets held for trading </t>
    </r>
    <r>
      <rPr>
        <strike/>
        <sz val="8"/>
        <color indexed="8"/>
        <rFont val="Verdana"/>
        <family val="2"/>
      </rPr>
      <t/>
    </r>
  </si>
  <si>
    <t>(Other administrative expenses)</t>
  </si>
  <si>
    <t>(Impairment or (-) reversal of impairment on financial assets not measured at fair value through profit or loss)</t>
  </si>
  <si>
    <t xml:space="preserve">Profit  or (-) loss after tax from discontinued operations    </t>
  </si>
  <si>
    <t>Convertible compound financial instruments</t>
  </si>
  <si>
    <t>IFRS 7.42D.(e)</t>
  </si>
  <si>
    <t>Transferred financial assets entirely recognized</t>
  </si>
  <si>
    <t>Transferred financial assets recognized to the extent of the instution's continuing involvement</t>
  </si>
  <si>
    <t>Principal amount outstanding of the original assets</t>
  </si>
  <si>
    <t>Carrying amount of assets still recognised [continuing involvement]</t>
  </si>
  <si>
    <t>Carrying amount of associated liabilites</t>
  </si>
  <si>
    <t>Investments in subsidaries, joint ventures and associates</t>
  </si>
  <si>
    <t>IAS 1.7, IG6; IAS 16.39-40</t>
  </si>
  <si>
    <t>Valuation gains or (-) losses taken to equity</t>
  </si>
  <si>
    <t>Translation gains or (-) losses taken to equity</t>
  </si>
  <si>
    <t>IAS 1.7, 92-95; IAS 21.48-49</t>
  </si>
  <si>
    <t>IAS 1.7, 92-95; IFRS 5.38</t>
  </si>
  <si>
    <t>Income tax relating to items that may be reclassified to profit or (-) loss</t>
  </si>
  <si>
    <t>Accumulated other comprehensive income</t>
  </si>
  <si>
    <r>
      <t xml:space="preserve">Transferred </t>
    </r>
    <r>
      <rPr>
        <b/>
        <sz val="8"/>
        <rFont val="Verdana"/>
        <family val="2"/>
      </rPr>
      <t>assets</t>
    </r>
  </si>
  <si>
    <t>IAS 1.54; IAS 1.78 (e)</t>
  </si>
  <si>
    <t>Other debt securities issued</t>
  </si>
  <si>
    <t>Financial guarantees received</t>
  </si>
  <si>
    <t>Impairment or (-) reversal of impairment on non-financial assets</t>
  </si>
  <si>
    <t>Other adjustments</t>
  </si>
  <si>
    <t>NACE Regulation</t>
  </si>
  <si>
    <t xml:space="preserve">of which: sold
</t>
  </si>
  <si>
    <t>PROFIT OR (-) LOSS BEFORE TAX FROM CONTINUING OPERATIONS</t>
  </si>
  <si>
    <t>PROFIT OR (-) LOSS AFTER TAX FROM CONTINUING OPERATIONS</t>
  </si>
  <si>
    <t>PROFIT OR (-) LOSS FOR THE YEAR</t>
  </si>
  <si>
    <r>
      <t xml:space="preserve">Investments in </t>
    </r>
    <r>
      <rPr>
        <b/>
        <sz val="8"/>
        <color indexed="8"/>
        <rFont val="Verdana"/>
        <family val="2"/>
      </rPr>
      <t>subsidaries, joint ventures and associates</t>
    </r>
  </si>
  <si>
    <t>(Impairment or (-) reversal of impairment of investments in subsidaries, joint ventures and associates)</t>
  </si>
  <si>
    <t>IAS 28.40-43</t>
  </si>
  <si>
    <t>TOTAL</t>
  </si>
  <si>
    <t>Geographical breakdown of main statement of profit or loss items by location of the activities</t>
  </si>
  <si>
    <t>Interests in unconsolidated structured entities</t>
  </si>
  <si>
    <t>Breakdown of interests in unconsolidated structured entities by nature of the activities</t>
  </si>
  <si>
    <t>Ineffectiveness in profit or loss from cash flow hedges</t>
  </si>
  <si>
    <t>Credit card debt</t>
  </si>
  <si>
    <t>of which: lending for house purchase</t>
  </si>
  <si>
    <t>By product</t>
  </si>
  <si>
    <t>By collateral</t>
  </si>
  <si>
    <t>By purpose</t>
  </si>
  <si>
    <t>HEDGE OF NET INVESTMENTS IN A FOREIGN OPERATION</t>
  </si>
  <si>
    <t>PORTFOLIO FAIR VALUE HEDGES OF INTEREST RATE RISK</t>
  </si>
  <si>
    <t>PORTFOLIO CASH FLOW HEDGES OF INTEREST RATE RISK</t>
  </si>
  <si>
    <t>By subordination</t>
  </si>
  <si>
    <t>of which: project finance loans</t>
  </si>
  <si>
    <t>Subordinated financial assets</t>
  </si>
  <si>
    <t>Pensions and other post employment defined benefit obligations</t>
  </si>
  <si>
    <t>Balance Sheet Statement [Statement of Financial Position]</t>
  </si>
  <si>
    <t>IAS 28.3</t>
  </si>
  <si>
    <t>IFRS 10 Appendix A</t>
  </si>
  <si>
    <t>Total Hedging</t>
  </si>
  <si>
    <t>DERIVATIVES-HEDGE ACCOUNTING</t>
  </si>
  <si>
    <t>SUBORDINATED FINANCIAL LIABILITIES</t>
  </si>
  <si>
    <t>Revaluation model</t>
  </si>
  <si>
    <t>Cost model</t>
  </si>
  <si>
    <t>Fair value model</t>
  </si>
  <si>
    <t xml:space="preserve">Revaluation model </t>
  </si>
  <si>
    <t>Foreign exchange and gold</t>
  </si>
  <si>
    <t>Foreign exchange trading and derivatives related with foreign exchange and gold</t>
  </si>
  <si>
    <t>Derivatives related with commodities</t>
  </si>
  <si>
    <t>Provisions for commitments and guarantees given</t>
  </si>
  <si>
    <t>Gains or (-) losses on derecognition of financial assets and liabilities not measured at fair value through profit or loss, net</t>
  </si>
  <si>
    <t>Actuarial gains or (-) losses on defined benefit pension plans</t>
  </si>
  <si>
    <t xml:space="preserve">Geographical breakdown of liabilities by residence of the counterparty </t>
  </si>
  <si>
    <t>Of which: credit institutions</t>
  </si>
  <si>
    <t>Of which: other financial corporations</t>
  </si>
  <si>
    <t>TOTAL ASSETS</t>
  </si>
  <si>
    <t>TOTAL LIABILITIES</t>
  </si>
  <si>
    <t>TOTAL EQUITY</t>
  </si>
  <si>
    <t>TOTAL EQUITY AND TOTAL LIABILITIES</t>
  </si>
  <si>
    <t>Geographical breakdown</t>
  </si>
  <si>
    <t>Breakdown of financial liabilities</t>
  </si>
  <si>
    <t>Collateral obtained by taking possession [tangible assets] accumulated</t>
  </si>
  <si>
    <t>Nominal amount</t>
  </si>
  <si>
    <t>IAS 1.54 (i)</t>
  </si>
  <si>
    <t>Other demand deposits</t>
  </si>
  <si>
    <t>Assets under reinsurance and insurance contracts</t>
  </si>
  <si>
    <t>OFF-BALANCE SHEET EXPOSURES</t>
  </si>
  <si>
    <t>Liabilities under insurance and reinsurance contracts</t>
  </si>
  <si>
    <t>Other equity</t>
  </si>
  <si>
    <t>Profit or loss attributable to owners of the parent</t>
  </si>
  <si>
    <t>Equity instruments issued other than capital</t>
  </si>
  <si>
    <t>Country of residence of the counterparty</t>
  </si>
  <si>
    <t>Of which: Small and Medium-sized Enterprises</t>
  </si>
  <si>
    <t>Of which: Credit for consumption</t>
  </si>
  <si>
    <t>Impairment or (-) reversal of impairment of investments in subsidaries, joint ventures and associates</t>
  </si>
  <si>
    <t>095</t>
  </si>
  <si>
    <t xml:space="preserve">Total Trading
</t>
  </si>
  <si>
    <t>DERIVATIVES</t>
  </si>
  <si>
    <t>Loans and advances by product, by collateral and by subordination</t>
  </si>
  <si>
    <t>Advances that are not loans</t>
  </si>
  <si>
    <t>of which: other collateralized loans</t>
  </si>
  <si>
    <t>of which: credit for consumption</t>
  </si>
  <si>
    <t>Statement of profit or loss</t>
  </si>
  <si>
    <t>Breakdown of financial assets by instrument and by counterparty sector</t>
  </si>
  <si>
    <t>Breakdown of financial assets by instrument and by counterparty sector: financial assets held for trading</t>
  </si>
  <si>
    <t>Breakdown of financial assets by instrument and by counterparty sector: financial assets designated at fair value through profit or loss</t>
  </si>
  <si>
    <t>Breakdown of financial liabilities by product and by counterparty sector</t>
  </si>
  <si>
    <t>Breakdown of selected statement of profit or loss items</t>
  </si>
  <si>
    <t>Interest income and expenses by instrument and counterparty sector</t>
  </si>
  <si>
    <t>Gains or losses on derecognition of financial assets and liabilities not measured at fair value through profit or loss by instrument</t>
  </si>
  <si>
    <t>Gains or losses on financial assets and liabilities designated at fair value through profit or loss by instrument</t>
  </si>
  <si>
    <t>Gains or losses from hedge accounting</t>
  </si>
  <si>
    <t>Components of net defined benefit plan assets and liabilities</t>
  </si>
  <si>
    <t>Breakdown of selected items of statement of profit or loss</t>
  </si>
  <si>
    <t>Related parties: expenses and income generated by transactions with</t>
  </si>
  <si>
    <t>Group structure</t>
  </si>
  <si>
    <t xml:space="preserve">Group structure: "entity-by-entity" </t>
  </si>
  <si>
    <t xml:space="preserve">Group structure: "instrument-by-instrument" </t>
  </si>
  <si>
    <t>Gains or losses on financial assets and liabilities designated at fair value through profit or loss by accounting portfolio</t>
  </si>
  <si>
    <t>Collateral obtained by taking possession during the period [held at the reporting date]</t>
  </si>
  <si>
    <t>Other long term employee benefits</t>
  </si>
  <si>
    <t>Commitments and guarantees given</t>
  </si>
  <si>
    <t>SUBORDINATED [FOR THE ISSUER] FINANCIAL ASSETS</t>
  </si>
  <si>
    <t>Other equity instruments issued</t>
  </si>
  <si>
    <t>TOTAL OPERATING INCOME, NET</t>
  </si>
  <si>
    <t>(Commitments and guarantees given)</t>
  </si>
  <si>
    <t>(Impairment or (-) reversal of impairment on non-financial assets)</t>
  </si>
  <si>
    <t>Attributable to owners of the parent</t>
  </si>
  <si>
    <t>FINANCIAL ASSETS DESIGNATED AT FAIR VALUE THROUGH PROFIT OR LOSS</t>
  </si>
  <si>
    <t>FINANCIAL LIABILITIES</t>
  </si>
  <si>
    <t xml:space="preserve">Other Commitments received </t>
  </si>
  <si>
    <t>CASH FLOW HEDGES</t>
  </si>
  <si>
    <t>FAIR VALUE HEDGES</t>
  </si>
  <si>
    <t>LOANS AND ADVANCES</t>
  </si>
  <si>
    <t>Principal amount outstanting of transferred financial assets entirely derecognised for which the intitution retains servicing rights</t>
  </si>
  <si>
    <t xml:space="preserve">Geographical breakdown of off-balance sheet exposures by residence of the counterparty </t>
  </si>
  <si>
    <t>INTEREST</t>
  </si>
  <si>
    <t>GAINS OR (-) LOSSES ON DERECOGNITION OF FINANCIAL ASSETS AND LIABILITIES NOT MEASURED AT FAIR VALUE THROUGH PROFIT OR LOSS, NET</t>
  </si>
  <si>
    <t>GAINS OR (-) LOSSES ON FINANCIAL ASSETS AND LIABILITIES HELD FOR TRADING, NET</t>
  </si>
  <si>
    <t>GAINS OR (-) LOSSES ON FINANCIAL ASSETS AND LIABILITIES DESIGNATED AT FAIR VALUE THROUGH PROFIT OR LOSS, NET</t>
  </si>
  <si>
    <t>Central administrative services for collective investment</t>
  </si>
  <si>
    <t>Share of other recognised income and expense of Investments in subsidaries, joint ventures and associates</t>
  </si>
  <si>
    <t>of which: Non-financial corporations</t>
  </si>
  <si>
    <t>of which: Households</t>
  </si>
  <si>
    <t>Cash [Debt instruments issued]</t>
  </si>
  <si>
    <t>PART 1 [QUARTERLY FREQUENCY]</t>
  </si>
  <si>
    <t>Derecognition and financial liabilities associated with transferred financial assets</t>
  </si>
  <si>
    <t>Reconciliation between accounting and CRR scope of consolidation: Assets</t>
  </si>
  <si>
    <t>Reconciliation between accounting and CRR scope of consolidation: Off-balance sheet exposures -  loan commitments, financial guarantees and other commitments given</t>
  </si>
  <si>
    <t>Reconciliation between accounting and CRR scope of consolidation: Liabilities</t>
  </si>
  <si>
    <t>PART 2 [QUATERLY WITH THRESHOLD: QUARTERLY FREQUENCY OR NOT REPORTING]</t>
  </si>
  <si>
    <t>PART 3 [SEMI-ANNUAL]</t>
  </si>
  <si>
    <t>Off-balance sheet activities: interests in unconsolidated structured entities</t>
  </si>
  <si>
    <t>Related parties</t>
  </si>
  <si>
    <t>PART 4 [ANNUAL]</t>
  </si>
  <si>
    <t>Accounting scope of consolidation [Carrying amount]</t>
  </si>
  <si>
    <t>Accounting scope of consolidation [Nominal amount]</t>
  </si>
  <si>
    <t>Tangible and intangible assets: carrying amount by measurement method</t>
  </si>
  <si>
    <t>Reconciliation between accounting and CRR scope of consolidation: Balance Sheet</t>
  </si>
  <si>
    <t>H Transport and storage</t>
  </si>
  <si>
    <t>037</t>
  </si>
  <si>
    <t>Hedge accounting</t>
  </si>
  <si>
    <t>GAINS OR (-) LOSSES FROM HEDGE ACCOUNTING, NET</t>
  </si>
  <si>
    <t>Assets involved in the services provided</t>
  </si>
  <si>
    <t>IAS 1.82A(a)</t>
  </si>
  <si>
    <t>IAS 37.10; IAS 1.54(l)</t>
  </si>
  <si>
    <t>IAS 37.71, 84(a)</t>
  </si>
  <si>
    <t>IAS 1.54(n-o)</t>
  </si>
  <si>
    <t>IAS 1.54(n); IAS 12.5</t>
  </si>
  <si>
    <t>IAS 1.54(r), BAD art 22</t>
  </si>
  <si>
    <t>IAS 1.78(e)</t>
  </si>
  <si>
    <t>IAS 21.52(b); IAS 21.32, 38-49</t>
  </si>
  <si>
    <t>IAS 1.54; IAS 1.78(e)</t>
  </si>
  <si>
    <t>IAS 1.9(c), IG 6</t>
  </si>
  <si>
    <t>IAS 1.7, IG6; IAS 21.52(b)</t>
  </si>
  <si>
    <r>
      <t>IAS 1.7, 81A(a)</t>
    </r>
    <r>
      <rPr>
        <i/>
        <sz val="8"/>
        <rFont val="Verdana"/>
        <family val="2"/>
      </rPr>
      <t>, IG6</t>
    </r>
  </si>
  <si>
    <t>IAS 1.83(b)(i), IG6</t>
  </si>
  <si>
    <t>IAS 1.83(b)(ii), IG6</t>
  </si>
  <si>
    <t>At amortized cost</t>
  </si>
  <si>
    <t>IFRS 7.20(a)(i)</t>
  </si>
  <si>
    <t>IAS 16.73(e)(v-vi)</t>
  </si>
  <si>
    <t>IAS 40.79(d)(v)</t>
  </si>
  <si>
    <t>IAS 36.10b; IAS 36.88-99, 124; IFRS 3 Appendix B67(d)(v)</t>
  </si>
  <si>
    <t>IAS 38.118(e)(iv)(v)</t>
  </si>
  <si>
    <t>IFRS 7.20(a)(i), B5(e)</t>
  </si>
  <si>
    <t>IAS 1.104; IAS 16.73(e)(vii)</t>
  </si>
  <si>
    <t xml:space="preserve">IAS 1.104; IAS 40.79(d)(iv) </t>
  </si>
  <si>
    <t>IAS 1.104; IAS 38.118(e)(vi)</t>
  </si>
  <si>
    <t>IAS 37.59, 84; IAS 1.98(b)(f)(g)</t>
  </si>
  <si>
    <t>IAS 36.126(a)(b)</t>
  </si>
  <si>
    <t xml:space="preserve">IFRS 3.Appendix B67(d)(v); IAS 36.124 </t>
  </si>
  <si>
    <t>IAS 38.118 (e)(iv)(v)</t>
  </si>
  <si>
    <t>IAS 36.126 (a)(b)</t>
  </si>
  <si>
    <t>IFRS 3.Appendix B64(n)(i)</t>
  </si>
  <si>
    <t>IAS 1.82(d); IAS 12.77</t>
  </si>
  <si>
    <t>IFRS 5.33(b)(i)</t>
  </si>
  <si>
    <t>IFRS 5.33 (b)(ii),(iv)</t>
  </si>
  <si>
    <t>IFRS 7.38(a)</t>
  </si>
  <si>
    <t>IFRS 7.36(b)</t>
  </si>
  <si>
    <t>IAS 16.6; IAS 1.54(a)</t>
  </si>
  <si>
    <t>IAS 40.5; IAS 1.54(b)</t>
  </si>
  <si>
    <t>IAS 1.9(a), IG 6</t>
  </si>
  <si>
    <t>IFRS 7.42D(f)</t>
  </si>
  <si>
    <t>IFRS 7.42D(e)</t>
  </si>
  <si>
    <t>IAS 17.49; IAS 16.31, 73(a)(d)</t>
  </si>
  <si>
    <t>IAS 17.49; IAS 16.30, 73(a)(d)</t>
  </si>
  <si>
    <t>IAS 40.IN5; IAS 1.54(b)</t>
  </si>
  <si>
    <t>IAS 17.49; IAS 40.56,79(c)</t>
  </si>
  <si>
    <t>IAS 17.49; IAS 38.75-87, 124(a)(ii)</t>
  </si>
  <si>
    <t>Maximum amount of the guarantee that can be considered</t>
  </si>
  <si>
    <t>Issuances</t>
  </si>
  <si>
    <t>References</t>
  </si>
  <si>
    <t xml:space="preserve">References
</t>
  </si>
  <si>
    <t>Derivatives -Trading</t>
  </si>
  <si>
    <t>Amount of the assets involved in the services provided</t>
  </si>
  <si>
    <r>
      <t>2.</t>
    </r>
    <r>
      <rPr>
        <b/>
        <u/>
        <sz val="7"/>
        <rFont val="Times New Roman"/>
        <family val="1"/>
      </rPr>
      <t> </t>
    </r>
    <r>
      <rPr>
        <b/>
        <u/>
        <sz val="8"/>
        <rFont val="Verdana"/>
        <family val="2"/>
      </rPr>
      <t>Statement of profit or loss</t>
    </r>
  </si>
  <si>
    <r>
      <t>1.</t>
    </r>
    <r>
      <rPr>
        <b/>
        <u/>
        <sz val="7"/>
        <rFont val="Times New Roman"/>
        <family val="1"/>
      </rPr>
      <t> </t>
    </r>
    <r>
      <rPr>
        <b/>
        <u/>
        <sz val="8"/>
        <rFont val="Verdana"/>
        <family val="2"/>
      </rPr>
      <t>Balance Sheet Statement [Statement of Financial Position]</t>
    </r>
  </si>
  <si>
    <t>1. Balance Sheet Statement [Statement of Financial Position]</t>
  </si>
  <si>
    <t>1.1</t>
  </si>
  <si>
    <t>1.2</t>
  </si>
  <si>
    <t>1.3</t>
  </si>
  <si>
    <t>Derivatives - Hedge accounting: Breakdown by type of risk and type of hedge</t>
  </si>
  <si>
    <r>
      <t>3.</t>
    </r>
    <r>
      <rPr>
        <b/>
        <u/>
        <sz val="7"/>
        <rFont val="Verdana"/>
        <family val="2"/>
      </rPr>
      <t> </t>
    </r>
    <r>
      <rPr>
        <b/>
        <u/>
        <sz val="8"/>
        <rFont val="Verdana"/>
        <family val="2"/>
      </rPr>
      <t>Statement of comprehensive income</t>
    </r>
  </si>
  <si>
    <r>
      <t>4.</t>
    </r>
    <r>
      <rPr>
        <b/>
        <u/>
        <sz val="8"/>
        <rFont val="Times New Roman"/>
        <family val="1"/>
      </rPr>
      <t> </t>
    </r>
    <r>
      <rPr>
        <b/>
        <u/>
        <sz val="8"/>
        <rFont val="Verdana"/>
        <family val="2"/>
      </rPr>
      <t>Breakdown of financial assets by instrument and by counterparty sector</t>
    </r>
  </si>
  <si>
    <t>4.5 Subordinated financial assets</t>
  </si>
  <si>
    <r>
      <t>8.</t>
    </r>
    <r>
      <rPr>
        <b/>
        <u/>
        <sz val="8"/>
        <rFont val="Times New Roman"/>
        <family val="1"/>
      </rPr>
      <t> B</t>
    </r>
    <r>
      <rPr>
        <b/>
        <u/>
        <sz val="8"/>
        <rFont val="Verdana"/>
        <family val="2"/>
      </rPr>
      <t>reakdown of financial liabilities</t>
    </r>
  </si>
  <si>
    <t>8.2. Subordinated financial liabilities</t>
  </si>
  <si>
    <t>9. Loan commitments, financial guarantees and other commitments</t>
  </si>
  <si>
    <r>
      <t>9.2</t>
    </r>
    <r>
      <rPr>
        <b/>
        <sz val="8"/>
        <rFont val="Times New Roman"/>
        <family val="1"/>
      </rPr>
      <t> </t>
    </r>
    <r>
      <rPr>
        <b/>
        <sz val="8"/>
        <rFont val="Verdana"/>
        <family val="2"/>
      </rPr>
      <t>Loan commitments, financial guarantees and other commitments received</t>
    </r>
  </si>
  <si>
    <r>
      <t>13.</t>
    </r>
    <r>
      <rPr>
        <b/>
        <u/>
        <sz val="8"/>
        <rFont val="Times New Roman"/>
        <family val="1"/>
      </rPr>
      <t> </t>
    </r>
    <r>
      <rPr>
        <b/>
        <u/>
        <sz val="8"/>
        <rFont val="Verdana"/>
        <family val="2"/>
      </rPr>
      <t>Collateral and guarantees received</t>
    </r>
  </si>
  <si>
    <t>13.2 Collateral obtained by taking possession during the period [held at the reporting date]</t>
  </si>
  <si>
    <t xml:space="preserve">13.3 Collateral obtained by taking possession [tangible assets] accumulated </t>
  </si>
  <si>
    <r>
      <t>15.</t>
    </r>
    <r>
      <rPr>
        <b/>
        <u/>
        <sz val="8"/>
        <rFont val="Times New Roman"/>
        <family val="1"/>
      </rPr>
      <t> </t>
    </r>
    <r>
      <rPr>
        <b/>
        <u/>
        <sz val="8"/>
        <rFont val="Verdana"/>
        <family val="2"/>
      </rPr>
      <t xml:space="preserve"> Derecognition and financial liabilities associated with transferred financial assets</t>
    </r>
  </si>
  <si>
    <t>16. Breakdown of selected statement of profit or loss items</t>
  </si>
  <si>
    <t>16.2 Gains or losses on derecognition of financial assets and liabilities not measured at fair value through profit or loss by instrument</t>
  </si>
  <si>
    <t>16.3 Gains or losses on financial assets and liabilities held for trading by instrument</t>
  </si>
  <si>
    <t>16.5 Gains or losses on financial assets and liabilities designated at fair value through profit or loss by instrument</t>
  </si>
  <si>
    <t>16.6 Gains or losses from hedge accounting</t>
  </si>
  <si>
    <t>17.2 Off-balance sheet exposures: Loan commitments, financial guarantees and other commitments given</t>
  </si>
  <si>
    <t>17.3 Liabilities and equity</t>
  </si>
  <si>
    <t>20. Geographical breakdown</t>
  </si>
  <si>
    <t>20.2 Geographical breakdown of liabilities by location of the activities</t>
  </si>
  <si>
    <t>20.3 Geographical breakdown of statement of profit or loss items by location of the activities</t>
  </si>
  <si>
    <t>20.4 Geographical breakdown of assets by residence of the counterparty</t>
  </si>
  <si>
    <t>20.5 Geographical breakdown of off-balance sheet exposures by residence of the counterparty</t>
  </si>
  <si>
    <t>20.6 Geographical breakdown of liabilities by residence of the counterparty</t>
  </si>
  <si>
    <t>21. Tangible and intangible assets: assets subject to operating lease</t>
  </si>
  <si>
    <t>22.2 Assets involved in the services provided</t>
  </si>
  <si>
    <t>Asset management, custody and other service functions</t>
  </si>
  <si>
    <t>Annex V.Part 2.1</t>
  </si>
  <si>
    <t>Annex V.Part 2.2</t>
  </si>
  <si>
    <t>Annex V.Part 2.3</t>
  </si>
  <si>
    <t>21, 42</t>
  </si>
  <si>
    <t>Annex V.Part 2.5</t>
  </si>
  <si>
    <t>IAS 1.54(j); IFRS 5.38, Annex V.Part 2.6</t>
  </si>
  <si>
    <t>Annex V.Part 1.31</t>
  </si>
  <si>
    <t>Annex V.Part 2.19</t>
  </si>
  <si>
    <t>IAS 39.9;  Annex V.Part 2.23</t>
  </si>
  <si>
    <t>IFRS 7.20(c)</t>
  </si>
  <si>
    <t>16, 45</t>
  </si>
  <si>
    <t xml:space="preserve">Accumulated changes in fair value due to credit risk </t>
  </si>
  <si>
    <t>Annex V.Part 2.45</t>
  </si>
  <si>
    <t>Annex V.Part 2.69</t>
  </si>
  <si>
    <t>Annex V.Part 2.70-71</t>
  </si>
  <si>
    <t>Annex V.Part 1.27</t>
  </si>
  <si>
    <t>SME Art 1 2(a)</t>
  </si>
  <si>
    <t>Servicing of securitization activities</t>
  </si>
  <si>
    <t>(Servicing of securitization activities)</t>
  </si>
  <si>
    <t>(Loan commitments received)</t>
  </si>
  <si>
    <t>(Financial guarantees received)</t>
  </si>
  <si>
    <t>F 01.01</t>
  </si>
  <si>
    <t>F 01.02</t>
  </si>
  <si>
    <t>F 01.03</t>
  </si>
  <si>
    <t>F 02.00</t>
  </si>
  <si>
    <t>F 03.00</t>
  </si>
  <si>
    <t>F 04.01</t>
  </si>
  <si>
    <t>F 04.05</t>
  </si>
  <si>
    <t>F 07.00</t>
  </si>
  <si>
    <t>F 08.01</t>
  </si>
  <si>
    <t>F 08.02</t>
  </si>
  <si>
    <t>F 09.02</t>
  </si>
  <si>
    <t>F 10.00</t>
  </si>
  <si>
    <t>F 11.01</t>
  </si>
  <si>
    <t>F 13.01</t>
  </si>
  <si>
    <t>F 13.02</t>
  </si>
  <si>
    <t>F 13.03</t>
  </si>
  <si>
    <t>F 14.00</t>
  </si>
  <si>
    <t>F 15.00</t>
  </si>
  <si>
    <t>F 16.01</t>
  </si>
  <si>
    <t>F 16.02</t>
  </si>
  <si>
    <t>F 16.03</t>
  </si>
  <si>
    <t>F 16.04</t>
  </si>
  <si>
    <t>F 16.05</t>
  </si>
  <si>
    <t>F 16.06</t>
  </si>
  <si>
    <t>F 16.07</t>
  </si>
  <si>
    <t>F 17.01</t>
  </si>
  <si>
    <t>F 17.02</t>
  </si>
  <si>
    <t>F 17.03</t>
  </si>
  <si>
    <t>F 18.00</t>
  </si>
  <si>
    <t>F 19.00</t>
  </si>
  <si>
    <t>F 20.01</t>
  </si>
  <si>
    <t>F 20.02</t>
  </si>
  <si>
    <t>F 20.03</t>
  </si>
  <si>
    <t>F 20.04</t>
  </si>
  <si>
    <t>F 20.05</t>
  </si>
  <si>
    <t>F 20.06</t>
  </si>
  <si>
    <t>F 21.00</t>
  </si>
  <si>
    <t>F 22.01</t>
  </si>
  <si>
    <t>F 22.02</t>
  </si>
  <si>
    <t>F 30.01</t>
  </si>
  <si>
    <t>F 30.02</t>
  </si>
  <si>
    <t>F 31.01</t>
  </si>
  <si>
    <t>F 31.02</t>
  </si>
  <si>
    <t>F 40.02</t>
  </si>
  <si>
    <t>F 41.01</t>
  </si>
  <si>
    <t>F 41.02</t>
  </si>
  <si>
    <t>F 42.00</t>
  </si>
  <si>
    <t>F 43.00</t>
  </si>
  <si>
    <t>F 44.01</t>
  </si>
  <si>
    <t>F 44.02</t>
  </si>
  <si>
    <t>F 44.03</t>
  </si>
  <si>
    <t>F 45.01</t>
  </si>
  <si>
    <t>F 45.02</t>
  </si>
  <si>
    <t>F 45.03</t>
  </si>
  <si>
    <t>F 46.00</t>
  </si>
  <si>
    <t>TEMPLATE CODE</t>
  </si>
  <si>
    <t>FINREP TEMPLATES FOR IFRS</t>
  </si>
  <si>
    <t>TEMPLATE NUMBER</t>
  </si>
  <si>
    <t>NAME OF THE TEMPLATE OR OF THE GROUP OF TEMPLATES</t>
  </si>
  <si>
    <t>1.1 Assets</t>
  </si>
  <si>
    <t>1.2 Liabilities</t>
  </si>
  <si>
    <t>1.3 Equity</t>
  </si>
  <si>
    <t>4.1 Financial assets held for trading</t>
  </si>
  <si>
    <r>
      <t>8.1</t>
    </r>
    <r>
      <rPr>
        <b/>
        <sz val="8"/>
        <rFont val="Times New Roman"/>
        <family val="1"/>
      </rPr>
      <t> B</t>
    </r>
    <r>
      <rPr>
        <b/>
        <sz val="8"/>
        <rFont val="Verdana"/>
        <family val="2"/>
      </rPr>
      <t>reakdown of financial liabilities by product and by counterparty sector</t>
    </r>
  </si>
  <si>
    <t>By type of risk / By product or by type of market</t>
  </si>
  <si>
    <t>11.1 Derivatives - Hedge accounting: Breakdown by type of risk and type of hedge</t>
  </si>
  <si>
    <t>16.1 Interest income and expenses by instrument and counterparty sector</t>
  </si>
  <si>
    <t>20.1 Geographical breakdown of assets by location of the activities</t>
  </si>
  <si>
    <r>
      <t>22.1</t>
    </r>
    <r>
      <rPr>
        <b/>
        <sz val="8"/>
        <rFont val="Times New Roman"/>
        <family val="1"/>
      </rPr>
      <t> </t>
    </r>
    <r>
      <rPr>
        <b/>
        <sz val="8"/>
        <rFont val="Verdana"/>
        <family val="2"/>
      </rPr>
      <t>Fee and commission income and expenses by activity</t>
    </r>
  </si>
  <si>
    <t>22. Asset management, custody and other service functions</t>
  </si>
  <si>
    <t>IAS 1.54(o); IAS 12.5; CRR art 4(1)(108)</t>
  </si>
  <si>
    <t>IAS 1.54(c); CRR art 4(1)(115)</t>
  </si>
  <si>
    <t>IFRS 3.B67(d); CRR art 4(1)(113)</t>
  </si>
  <si>
    <t>IAS 1.78(e); CRR art 4(1)(124)</t>
  </si>
  <si>
    <t>CRR art 4(1)(100)</t>
  </si>
  <si>
    <t>CRR art 4(1)(123)</t>
  </si>
  <si>
    <t>IAS 1.54(o); IAS 12.5; CRR art 4(1)(106)</t>
  </si>
  <si>
    <t>IFRS 7.42D(e); CRR art 4(1)(61)</t>
  </si>
  <si>
    <t>Annex V.Part 2.113-115</t>
  </si>
  <si>
    <t>CRR art 4(1)(61)</t>
  </si>
  <si>
    <t>IAS 1.81B (b)(ii)</t>
  </si>
  <si>
    <t>IAS 1.81A(a)</t>
  </si>
  <si>
    <t>Of which: Loans collateralized by commercial immovable property</t>
  </si>
  <si>
    <t>Cash, cash balances at central banks and other demand deposits</t>
  </si>
  <si>
    <t>Of which: non-performing</t>
  </si>
  <si>
    <t>012</t>
  </si>
  <si>
    <t>of which: non-performing</t>
  </si>
  <si>
    <t>021</t>
  </si>
  <si>
    <t>Of which: debt forbearance</t>
  </si>
  <si>
    <t>022</t>
  </si>
  <si>
    <t>025</t>
  </si>
  <si>
    <t>Forborne exposures</t>
  </si>
  <si>
    <t>Performing and non-performing exposures</t>
  </si>
  <si>
    <t>Non-$F$inancial corporations</t>
  </si>
  <si>
    <t>Non-Financial corporations</t>
  </si>
  <si>
    <t>Of which: non-Financial corporations</t>
  </si>
  <si>
    <t>17. Reconciliation between Accounting and CRR scope of consolidation: Balance Sheet</t>
  </si>
  <si>
    <t>14. Fair value hierachy: Financial instruments at fair value</t>
  </si>
  <si>
    <t xml:space="preserve">Financial assets held For trading </t>
  </si>
  <si>
    <t>ReFerences</t>
  </si>
  <si>
    <t>IFRS 13.76</t>
  </si>
  <si>
    <t xml:space="preserve"> IFRS 13.81</t>
  </si>
  <si>
    <t>IFRS 13.86</t>
  </si>
  <si>
    <t>IFRS 13.81</t>
  </si>
  <si>
    <t>IFRS 13.86, 93(f)</t>
  </si>
  <si>
    <t>17.1 Assets</t>
  </si>
  <si>
    <t>1. Balance Sheet Statement [Statement of Financial Position]</t>
  </si>
  <si>
    <t>20. Geographical breakdown (part 2)</t>
  </si>
  <si>
    <t>/*</t>
  </si>
  <si>
    <t>BANK SHORT NAME :</t>
  </si>
  <si>
    <t>REFERENCE DATE (DD/MM/YYYY) :</t>
  </si>
  <si>
    <t>Solo</t>
  </si>
  <si>
    <t>SOLO or CONSOLIDATED :</t>
  </si>
  <si>
    <t>Consolidated</t>
  </si>
  <si>
    <t>}$</t>
  </si>
  <si>
    <t>AUSTRIA</t>
  </si>
  <si>
    <t>BELGIUM</t>
  </si>
  <si>
    <t>BULGARIA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</si>
  <si>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</si>
  <si>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</si>
  <si>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</si>
  <si>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</si>
  <si>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</si>
  <si>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</si>
  <si>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</si>
  <si>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</si>
  <si>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</si>
  <si>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</si>
  <si>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</si>
  <si>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</si>
  <si>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</si>
  <si>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</si>
  <si>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</si>
  <si>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</si>
  <si>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</si>
  <si>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</si>
  <si>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</si>
  <si>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</si>
  <si>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</si>
  <si>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</si>
  <si>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</si>
  <si>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UNITED KINGDOM</t>
  </si>
  <si>
    <t>ALBANIA</t>
  </si>
  <si>
    <t>JAPAN</t>
  </si>
  <si>
    <t>MACEDONIA, THE FORMER YUGOSLAV REPUBLIC OF</t>
  </si>
  <si>
    <t>RUSSIAN FEDERATION</t>
  </si>
  <si>
    <t>SERBIA</t>
  </si>
  <si>
    <t>SWITZERLAND</t>
  </si>
  <si>
    <t>TURKEY</t>
  </si>
  <si>
    <t>UKRAINE</t>
  </si>
  <si>
    <t>UNITED STATES</t>
  </si>
  <si>
    <t>NORWAY</t>
  </si>
  <si>
    <t>EGYPT</t>
  </si>
  <si>
    <t>ICELAND</t>
  </si>
  <si>
    <t>LIECHTENSTEIN</t>
  </si>
  <si>
    <t>CODES</t>
  </si>
  <si>
    <t>AF</t>
  </si>
  <si>
    <t>AFGHANISTAN</t>
  </si>
  <si>
    <t>AX</t>
  </si>
  <si>
    <t>ÅLAND ISLANDS</t>
  </si>
  <si>
    <t>AL</t>
  </si>
  <si>
    <t>DZ</t>
  </si>
  <si>
    <t>ALGERIA</t>
  </si>
  <si>
    <t>AS</t>
  </si>
  <si>
    <t>AMERICAN SAMOA</t>
  </si>
  <si>
    <t>AD</t>
  </si>
  <si>
    <t>ANDORRA</t>
  </si>
  <si>
    <t>AO</t>
  </si>
  <si>
    <t>ANGOLA</t>
  </si>
  <si>
    <t>AI</t>
  </si>
  <si>
    <t>ANGUILLA</t>
  </si>
  <si>
    <t>AQ</t>
  </si>
  <si>
    <t>ANTARCTICA</t>
  </si>
  <si>
    <t>AG</t>
  </si>
  <si>
    <t>ANTIGUA AND BARBUDA</t>
  </si>
  <si>
    <t>AR</t>
  </si>
  <si>
    <t>ARGENTINA</t>
  </si>
  <si>
    <t>AM</t>
  </si>
  <si>
    <t>ARMENIA</t>
  </si>
  <si>
    <t>AW</t>
  </si>
  <si>
    <t>ARUBA</t>
  </si>
  <si>
    <t>AU</t>
  </si>
  <si>
    <t>AUSTRALIA</t>
  </si>
  <si>
    <t>AT</t>
  </si>
  <si>
    <t>AZ</t>
  </si>
  <si>
    <t>AZERBAIJAN</t>
  </si>
  <si>
    <t>BS</t>
  </si>
  <si>
    <t>BAHAMAS</t>
  </si>
  <si>
    <t>BH</t>
  </si>
  <si>
    <t>BAHRAIN</t>
  </si>
  <si>
    <t>BD</t>
  </si>
  <si>
    <t>BANGLADESH</t>
  </si>
  <si>
    <t>BB</t>
  </si>
  <si>
    <t>BARBADOS</t>
  </si>
  <si>
    <t>BY</t>
  </si>
  <si>
    <t>BELARUS</t>
  </si>
  <si>
    <t>BE</t>
  </si>
  <si>
    <t>BZ</t>
  </si>
  <si>
    <t>BELIZE</t>
  </si>
  <si>
    <t>BJ</t>
  </si>
  <si>
    <t>BENIN</t>
  </si>
  <si>
    <t>BM</t>
  </si>
  <si>
    <t>BERMUDA</t>
  </si>
  <si>
    <t>BT</t>
  </si>
  <si>
    <t>BHUTAN</t>
  </si>
  <si>
    <t>BO</t>
  </si>
  <si>
    <t>BOLIVIA, PLURINATIONAL STATE OF</t>
  </si>
  <si>
    <t>BQ</t>
  </si>
  <si>
    <t>BONAIRE, SINT EUSTATIUS AND SABA</t>
  </si>
  <si>
    <t>BA</t>
  </si>
  <si>
    <t>BOSNIA AND HERZEGOVINA</t>
  </si>
  <si>
    <t>BW</t>
  </si>
  <si>
    <t>BOTSWANA</t>
  </si>
  <si>
    <t>BV</t>
  </si>
  <si>
    <t>BOUVET ISLAND</t>
  </si>
  <si>
    <t>BR</t>
  </si>
  <si>
    <t>BRAZIL</t>
  </si>
  <si>
    <t>IO</t>
  </si>
  <si>
    <t>BRITISH INDIAN OCEAN TERRITORY</t>
  </si>
  <si>
    <t>BN</t>
  </si>
  <si>
    <t>BRUNEI DARUSSALAM</t>
  </si>
  <si>
    <t>BG</t>
  </si>
  <si>
    <t>BF</t>
  </si>
  <si>
    <t>BURKINA FASO</t>
  </si>
  <si>
    <t>BI</t>
  </si>
  <si>
    <t>BURUNDI</t>
  </si>
  <si>
    <t>KH</t>
  </si>
  <si>
    <t>CAMBODIA</t>
  </si>
  <si>
    <t>CM</t>
  </si>
  <si>
    <t>CAMEROON</t>
  </si>
  <si>
    <t>CA</t>
  </si>
  <si>
    <t>CANADA</t>
  </si>
  <si>
    <t>CV</t>
  </si>
  <si>
    <t>CAPE VERDE</t>
  </si>
  <si>
    <t>KY</t>
  </si>
  <si>
    <t>CAYMAN ISLANDS</t>
  </si>
  <si>
    <t>CF</t>
  </si>
  <si>
    <t>CENTRAL AFRICAN REPUBLIC</t>
  </si>
  <si>
    <t>TD</t>
  </si>
  <si>
    <t>CHAD</t>
  </si>
  <si>
    <t>CL</t>
  </si>
  <si>
    <t>CHILE</t>
  </si>
  <si>
    <t>CN</t>
  </si>
  <si>
    <t>CHINA</t>
  </si>
  <si>
    <t>CX</t>
  </si>
  <si>
    <t>CHRISTMAS ISLAND</t>
  </si>
  <si>
    <t>CC</t>
  </si>
  <si>
    <t>COCOS (KEELING) ISLANDS</t>
  </si>
  <si>
    <t>CO</t>
  </si>
  <si>
    <t>COLOMBIA</t>
  </si>
  <si>
    <t>KM</t>
  </si>
  <si>
    <t>COMOROS</t>
  </si>
  <si>
    <t>CG</t>
  </si>
  <si>
    <t>CONGO</t>
  </si>
  <si>
    <t>CD</t>
  </si>
  <si>
    <t>CONGO, THE DEMOCRATIC REPUBLIC OF THE</t>
  </si>
  <si>
    <t>CK</t>
  </si>
  <si>
    <t>COOK ISLANDS</t>
  </si>
  <si>
    <t>CR</t>
  </si>
  <si>
    <t>COSTA RICA</t>
  </si>
  <si>
    <t>CI</t>
  </si>
  <si>
    <t>CÔTE D'IVOIRE</t>
  </si>
  <si>
    <t>HR</t>
  </si>
  <si>
    <t>CROATIA</t>
  </si>
  <si>
    <t>CU</t>
  </si>
  <si>
    <t>CUBA</t>
  </si>
  <si>
    <t>CW</t>
  </si>
  <si>
    <t>CURAÇAO</t>
  </si>
  <si>
    <t>CY</t>
  </si>
  <si>
    <t>CZ</t>
  </si>
  <si>
    <t>DK</t>
  </si>
  <si>
    <t>DJ</t>
  </si>
  <si>
    <t>DJIBOUTI</t>
  </si>
  <si>
    <t>DM</t>
  </si>
  <si>
    <t>DOMINICA</t>
  </si>
  <si>
    <t>DO</t>
  </si>
  <si>
    <t>DOMINICAN REPUBLIC</t>
  </si>
  <si>
    <t>EC</t>
  </si>
  <si>
    <t>ECUADOR</t>
  </si>
  <si>
    <t>EG</t>
  </si>
  <si>
    <t>SV</t>
  </si>
  <si>
    <t>EL SALVADOR</t>
  </si>
  <si>
    <t>GQ</t>
  </si>
  <si>
    <t>EQUATORIAL GUINEA</t>
  </si>
  <si>
    <t>ER</t>
  </si>
  <si>
    <t>ERITREA</t>
  </si>
  <si>
    <t>EE</t>
  </si>
  <si>
    <t>ET</t>
  </si>
  <si>
    <t>ETHIOPIA</t>
  </si>
  <si>
    <t>FK</t>
  </si>
  <si>
    <t>FALKLAND ISLANDS (MALVINAS)</t>
  </si>
  <si>
    <t>FO</t>
  </si>
  <si>
    <t>FAROE ISLANDS</t>
  </si>
  <si>
    <t>FJ</t>
  </si>
  <si>
    <t>FIJI</t>
  </si>
  <si>
    <t>FI</t>
  </si>
  <si>
    <t>FR</t>
  </si>
  <si>
    <t>GF</t>
  </si>
  <si>
    <t>FRENCH GUIANA</t>
  </si>
  <si>
    <t>PF</t>
  </si>
  <si>
    <t>FRENCH POLYNESIA</t>
  </si>
  <si>
    <t>TF</t>
  </si>
  <si>
    <t>FRENCH SOUTHERN TERRITORIES</t>
  </si>
  <si>
    <t>GA</t>
  </si>
  <si>
    <t>GABON</t>
  </si>
  <si>
    <t>GM</t>
  </si>
  <si>
    <t>GAMBIA</t>
  </si>
  <si>
    <t>GE</t>
  </si>
  <si>
    <t>GEORGIA</t>
  </si>
  <si>
    <t>DE</t>
  </si>
  <si>
    <t>GH</t>
  </si>
  <si>
    <t>GHANA</t>
  </si>
  <si>
    <t>GI</t>
  </si>
  <si>
    <t>GIBRALTAR</t>
  </si>
  <si>
    <t>GR</t>
  </si>
  <si>
    <t>GL</t>
  </si>
  <si>
    <t>GREENLAND</t>
  </si>
  <si>
    <t>GD</t>
  </si>
  <si>
    <t>GRENADA</t>
  </si>
  <si>
    <t>GP</t>
  </si>
  <si>
    <t>GUADELOUPE</t>
  </si>
  <si>
    <t>GU</t>
  </si>
  <si>
    <t>GUAM</t>
  </si>
  <si>
    <t>GT</t>
  </si>
  <si>
    <t>GUATEMALA</t>
  </si>
  <si>
    <t>GG</t>
  </si>
  <si>
    <t>GUERNSEY</t>
  </si>
  <si>
    <t>GN</t>
  </si>
  <si>
    <t>GUINEA</t>
  </si>
  <si>
    <t>GW</t>
  </si>
  <si>
    <t>GUINEA-BISSAU</t>
  </si>
  <si>
    <t>GY</t>
  </si>
  <si>
    <t>GUYANA</t>
  </si>
  <si>
    <t>HT</t>
  </si>
  <si>
    <t>HAITI</t>
  </si>
  <si>
    <t>HM</t>
  </si>
  <si>
    <t>HEARD ISLAND AND MCDONALD ISLANDS</t>
  </si>
  <si>
    <t>VA</t>
  </si>
  <si>
    <t>HOLY SEE (VATICAN CITY STATE)</t>
  </si>
  <si>
    <t>HN</t>
  </si>
  <si>
    <t>HONDURAS</t>
  </si>
  <si>
    <t>HK</t>
  </si>
  <si>
    <t>HONG KONG</t>
  </si>
  <si>
    <t>HU</t>
  </si>
  <si>
    <t>IS</t>
  </si>
  <si>
    <t>IN</t>
  </si>
  <si>
    <t>INDIA</t>
  </si>
  <si>
    <t>ID</t>
  </si>
  <si>
    <t>INDONESIA</t>
  </si>
  <si>
    <t>IR</t>
  </si>
  <si>
    <t>IRAN, ISLAMIC REPUBLIC OF</t>
  </si>
  <si>
    <t>IQ</t>
  </si>
  <si>
    <t>IRAQ</t>
  </si>
  <si>
    <t>IE</t>
  </si>
  <si>
    <t>IM</t>
  </si>
  <si>
    <t>ISLE OF MAN</t>
  </si>
  <si>
    <t>IL</t>
  </si>
  <si>
    <t>ISRAEL</t>
  </si>
  <si>
    <t>IT</t>
  </si>
  <si>
    <t>JM</t>
  </si>
  <si>
    <t>JAMAICA</t>
  </si>
  <si>
    <t>JP</t>
  </si>
  <si>
    <t>JE</t>
  </si>
  <si>
    <t>JERSEY</t>
  </si>
  <si>
    <t>JO</t>
  </si>
  <si>
    <t>JORDAN</t>
  </si>
  <si>
    <t>KZ</t>
  </si>
  <si>
    <t>KAZAKHSTAN</t>
  </si>
  <si>
    <t>KE</t>
  </si>
  <si>
    <t>KENYA</t>
  </si>
  <si>
    <t>KI</t>
  </si>
  <si>
    <t>KIRIBATI</t>
  </si>
  <si>
    <t>KP</t>
  </si>
  <si>
    <t>KOREA, DEMOCRATIC PEOPLE'S REPUBLIC OF</t>
  </si>
  <si>
    <t>KR</t>
  </si>
  <si>
    <t>KOREA, REPUBLIC OF</t>
  </si>
  <si>
    <t>KW</t>
  </si>
  <si>
    <t>KUWAIT</t>
  </si>
  <si>
    <t>KG</t>
  </si>
  <si>
    <t>KYRGYZSTAN</t>
  </si>
  <si>
    <t>LA</t>
  </si>
  <si>
    <t>LAO PEOPLE'S DEMOCRATIC REPUBLIC</t>
  </si>
  <si>
    <t>LV</t>
  </si>
  <si>
    <t>LB</t>
  </si>
  <si>
    <t>LEBANON</t>
  </si>
  <si>
    <t>LS</t>
  </si>
  <si>
    <t>LESOTHO</t>
  </si>
  <si>
    <t>LR</t>
  </si>
  <si>
    <t>LIBERIA</t>
  </si>
  <si>
    <t>LY</t>
  </si>
  <si>
    <t>LIBYA</t>
  </si>
  <si>
    <t>LI</t>
  </si>
  <si>
    <t>LT</t>
  </si>
  <si>
    <t>LU</t>
  </si>
  <si>
    <t>MO</t>
  </si>
  <si>
    <t>MACAO</t>
  </si>
  <si>
    <t>MK</t>
  </si>
  <si>
    <t>MG</t>
  </si>
  <si>
    <t>MADAGASCAR</t>
  </si>
  <si>
    <t>MW</t>
  </si>
  <si>
    <t>MALAWI</t>
  </si>
  <si>
    <t>MY</t>
  </si>
  <si>
    <t>MALAYSIA</t>
  </si>
  <si>
    <t>MV</t>
  </si>
  <si>
    <t>MALDIVES</t>
  </si>
  <si>
    <t>ML</t>
  </si>
  <si>
    <t>MALI</t>
  </si>
  <si>
    <t>MT</t>
  </si>
  <si>
    <t>MH</t>
  </si>
  <si>
    <t>MARSHALL ISLANDS</t>
  </si>
  <si>
    <t>MQ</t>
  </si>
  <si>
    <t>MARTINIQUE</t>
  </si>
  <si>
    <t>MR</t>
  </si>
  <si>
    <t>MAURITANIA</t>
  </si>
  <si>
    <t>MU</t>
  </si>
  <si>
    <t>MAURITIUS</t>
  </si>
  <si>
    <t>YT</t>
  </si>
  <si>
    <t>MAYOTTE</t>
  </si>
  <si>
    <t>MX</t>
  </si>
  <si>
    <t>MEXICO</t>
  </si>
  <si>
    <t>FM</t>
  </si>
  <si>
    <t>MICRONESIA, FEDERATED STATES OF</t>
  </si>
  <si>
    <t>MD</t>
  </si>
  <si>
    <t>MOLDOVA, REPUBLIC OF</t>
  </si>
  <si>
    <t>MC</t>
  </si>
  <si>
    <t>MONACO</t>
  </si>
  <si>
    <t>MN</t>
  </si>
  <si>
    <t>MONGOLIA</t>
  </si>
  <si>
    <t>ME</t>
  </si>
  <si>
    <t>MONTENEGRO</t>
  </si>
  <si>
    <t>MS</t>
  </si>
  <si>
    <t>MONTSERRAT</t>
  </si>
  <si>
    <t>MA</t>
  </si>
  <si>
    <t>MOROCCO</t>
  </si>
  <si>
    <t>MZ</t>
  </si>
  <si>
    <t>MOZAMBIQUE</t>
  </si>
  <si>
    <t>MM</t>
  </si>
  <si>
    <t>MYANMAR</t>
  </si>
  <si>
    <t>NA</t>
  </si>
  <si>
    <t>NAMIBIA</t>
  </si>
  <si>
    <t>NR</t>
  </si>
  <si>
    <t>NAURU</t>
  </si>
  <si>
    <t>NP</t>
  </si>
  <si>
    <t>NEPAL</t>
  </si>
  <si>
    <t>NL</t>
  </si>
  <si>
    <t>NC</t>
  </si>
  <si>
    <t>NEW CALEDONIA</t>
  </si>
  <si>
    <t>NZ</t>
  </si>
  <si>
    <t>NEW ZEALAND</t>
  </si>
  <si>
    <t>NI</t>
  </si>
  <si>
    <t>NICARAGUA</t>
  </si>
  <si>
    <t>NE</t>
  </si>
  <si>
    <t>NIGER</t>
  </si>
  <si>
    <t>NG</t>
  </si>
  <si>
    <t>NIGERIA</t>
  </si>
  <si>
    <t>NU</t>
  </si>
  <si>
    <t>NIUE</t>
  </si>
  <si>
    <t>NF</t>
  </si>
  <si>
    <t>NORFOLK ISLAND</t>
  </si>
  <si>
    <t>MP</t>
  </si>
  <si>
    <t>NORTHERN MARIANA ISLANDS</t>
  </si>
  <si>
    <t>NO</t>
  </si>
  <si>
    <t>OM</t>
  </si>
  <si>
    <t>OMAN</t>
  </si>
  <si>
    <t>PK</t>
  </si>
  <si>
    <t>PAKISTAN</t>
  </si>
  <si>
    <t>PW</t>
  </si>
  <si>
    <t>PALAU</t>
  </si>
  <si>
    <t>PS</t>
  </si>
  <si>
    <t>PALESTINIAN TERRITORY, OCCUPIED</t>
  </si>
  <si>
    <t>PA</t>
  </si>
  <si>
    <t>PANAMA</t>
  </si>
  <si>
    <t>PG</t>
  </si>
  <si>
    <t>PAPUA NEW GUINEA</t>
  </si>
  <si>
    <t>PY</t>
  </si>
  <si>
    <t>PARAGUAY</t>
  </si>
  <si>
    <t>PE</t>
  </si>
  <si>
    <t>PERU</t>
  </si>
  <si>
    <t>PH</t>
  </si>
  <si>
    <t>PHILIPPINES</t>
  </si>
  <si>
    <t>PN</t>
  </si>
  <si>
    <t>PITCAIRN</t>
  </si>
  <si>
    <t>PL</t>
  </si>
  <si>
    <t>PT</t>
  </si>
  <si>
    <t>PR</t>
  </si>
  <si>
    <t>PUERTO RICO</t>
  </si>
  <si>
    <t>QA</t>
  </si>
  <si>
    <t>QATAR</t>
  </si>
  <si>
    <t>RE</t>
  </si>
  <si>
    <t>RÉUNION</t>
  </si>
  <si>
    <t>RO</t>
  </si>
  <si>
    <t>RU</t>
  </si>
  <si>
    <t>RW</t>
  </si>
  <si>
    <t>RWANDA</t>
  </si>
  <si>
    <t>BL</t>
  </si>
  <si>
    <t>SAINT BARTHÉLEMY</t>
  </si>
  <si>
    <t>SH</t>
  </si>
  <si>
    <t>SAINT HELENA, ASCENSION AND TRISTAN DA CUNHA</t>
  </si>
  <si>
    <t>KN</t>
  </si>
  <si>
    <t>SAINT KITTS AND NEVIS</t>
  </si>
  <si>
    <t>LC</t>
  </si>
  <si>
    <t>SAINT LUCIA</t>
  </si>
  <si>
    <t>MF</t>
  </si>
  <si>
    <t>SAINT MARTIN (FRENCH PART)</t>
  </si>
  <si>
    <t>PM</t>
  </si>
  <si>
    <t>SAINT PIERRE AND MIQUELON</t>
  </si>
  <si>
    <t>VC</t>
  </si>
  <si>
    <t>SAINT VINCENT AND THE GRENADINES</t>
  </si>
  <si>
    <t>WS</t>
  </si>
  <si>
    <t>SAMOA</t>
  </si>
  <si>
    <t>SM</t>
  </si>
  <si>
    <t>SAN MARINO</t>
  </si>
  <si>
    <t>ST</t>
  </si>
  <si>
    <t>SAO TOME AND PRINCIPE</t>
  </si>
  <si>
    <t>SA</t>
  </si>
  <si>
    <t>SAUDI ARABIA</t>
  </si>
  <si>
    <t>SN</t>
  </si>
  <si>
    <t>SENEGAL</t>
  </si>
  <si>
    <t>RS</t>
  </si>
  <si>
    <t>SC</t>
  </si>
  <si>
    <t>SEYCHELLES</t>
  </si>
  <si>
    <t>SL</t>
  </si>
  <si>
    <t>SIERRA LEONE</t>
  </si>
  <si>
    <t>SG</t>
  </si>
  <si>
    <t>SINGAPORE</t>
  </si>
  <si>
    <t>SX</t>
  </si>
  <si>
    <t>SINT MAARTEN (DUTCH PART)</t>
  </si>
  <si>
    <t>SK</t>
  </si>
  <si>
    <t>SI</t>
  </si>
  <si>
    <t>SB</t>
  </si>
  <si>
    <t>SOLOMON ISLANDS</t>
  </si>
  <si>
    <t>SO</t>
  </si>
  <si>
    <t>SOMALIA</t>
  </si>
  <si>
    <t>ZA</t>
  </si>
  <si>
    <t>SOUTH AFRICA</t>
  </si>
  <si>
    <t>GS</t>
  </si>
  <si>
    <t>SOUTH GEORGIA AND THE SOUTH SANDWICH ISLANDS</t>
  </si>
  <si>
    <t>SS</t>
  </si>
  <si>
    <t>SOUTH SUDAN</t>
  </si>
  <si>
    <t>ES</t>
  </si>
  <si>
    <t>LK</t>
  </si>
  <si>
    <t>SRI LANKA</t>
  </si>
  <si>
    <t>SD</t>
  </si>
  <si>
    <t>SUDAN</t>
  </si>
  <si>
    <t>SR</t>
  </si>
  <si>
    <t>SURINAME</t>
  </si>
  <si>
    <t>SJ</t>
  </si>
  <si>
    <t>SVALBARD AND JAN MAYEN</t>
  </si>
  <si>
    <t>SZ</t>
  </si>
  <si>
    <t>SWAZILAND</t>
  </si>
  <si>
    <t>SE</t>
  </si>
  <si>
    <t>CH</t>
  </si>
  <si>
    <t>SY</t>
  </si>
  <si>
    <t>SYRIAN ARAB REPUBLIC</t>
  </si>
  <si>
    <t>TW</t>
  </si>
  <si>
    <t>TAIWAN, PROVINCE OF CHINA</t>
  </si>
  <si>
    <t>TJ</t>
  </si>
  <si>
    <t>TAJIKISTAN</t>
  </si>
  <si>
    <t>TZ</t>
  </si>
  <si>
    <t>TANZANIA, UNITED REPUBLIC OF</t>
  </si>
  <si>
    <t>TH</t>
  </si>
  <si>
    <t>THAILAND</t>
  </si>
  <si>
    <t>TL</t>
  </si>
  <si>
    <t>TIMOR-LESTE</t>
  </si>
  <si>
    <t>TG</t>
  </si>
  <si>
    <t>TOGO</t>
  </si>
  <si>
    <t>TK</t>
  </si>
  <si>
    <t>TOKELAU</t>
  </si>
  <si>
    <t>TO</t>
  </si>
  <si>
    <t>TONGA</t>
  </si>
  <si>
    <t>TT</t>
  </si>
  <si>
    <t>TRINIDAD AND TOBAGO</t>
  </si>
  <si>
    <t>TN</t>
  </si>
  <si>
    <t>TUNISIA</t>
  </si>
  <si>
    <t>TR</t>
  </si>
  <si>
    <t>TM</t>
  </si>
  <si>
    <t>TURKMENISTAN</t>
  </si>
  <si>
    <t>TC</t>
  </si>
  <si>
    <t>TURKS AND CAICOS ISLANDS</t>
  </si>
  <si>
    <t>TV</t>
  </si>
  <si>
    <t>TUVALU</t>
  </si>
  <si>
    <t>UG</t>
  </si>
  <si>
    <t>UGANDA</t>
  </si>
  <si>
    <t>UA</t>
  </si>
  <si>
    <t>AE</t>
  </si>
  <si>
    <t>UNITED ARAB EMIRATES</t>
  </si>
  <si>
    <t>GB</t>
  </si>
  <si>
    <t>US</t>
  </si>
  <si>
    <t>UM</t>
  </si>
  <si>
    <t>UNITED STATES MINOR OUTLYING ISLANDS</t>
  </si>
  <si>
    <t>UY</t>
  </si>
  <si>
    <t>URUGUAY</t>
  </si>
  <si>
    <t>UZ</t>
  </si>
  <si>
    <t>UZBEKISTAN</t>
  </si>
  <si>
    <t>VU</t>
  </si>
  <si>
    <t>VANUATU</t>
  </si>
  <si>
    <t>VE</t>
  </si>
  <si>
    <t>VENEZUELA, BOLIVARIAN REPUBLIC OF</t>
  </si>
  <si>
    <t>VN</t>
  </si>
  <si>
    <t>VIET NAM</t>
  </si>
  <si>
    <t>VG</t>
  </si>
  <si>
    <t>VIRGIN ISLANDS, BRITISH</t>
  </si>
  <si>
    <t>VI</t>
  </si>
  <si>
    <t>VIRGIN ISLANDS, U.S.</t>
  </si>
  <si>
    <t>WF</t>
  </si>
  <si>
    <t>WALLIS AND FUTUNA</t>
  </si>
  <si>
    <t>EH</t>
  </si>
  <si>
    <t>WESTERN SAHARA</t>
  </si>
  <si>
    <t>YE</t>
  </si>
  <si>
    <t>YEMEN</t>
  </si>
  <si>
    <t>ZM</t>
  </si>
  <si>
    <t>ZAMBIA</t>
  </si>
  <si>
    <t>ZW</t>
  </si>
  <si>
    <t>ZIMBABWE</t>
  </si>
  <si>
    <t>x28</t>
  </si>
  <si>
    <t>Other Countries</t>
  </si>
  <si>
    <t>Country of residence of the counterparty:</t>
  </si>
  <si>
    <t>For Tables 20.4 - 20.7: Specify the Country of residence of the counterparty and Create one sheet per country</t>
  </si>
  <si>
    <t>F-IFRS_IND</t>
  </si>
  <si>
    <t>ERRORS</t>
  </si>
  <si>
    <t>see sheet</t>
  </si>
  <si>
    <t>F-01.01</t>
  </si>
  <si>
    <t>F-01.02</t>
  </si>
  <si>
    <t>F-01.03</t>
  </si>
  <si>
    <t>F-02.00</t>
  </si>
  <si>
    <t>F-03.00</t>
  </si>
  <si>
    <t>F-04.01</t>
  </si>
  <si>
    <t>F-04.05</t>
  </si>
  <si>
    <t>F-08.01</t>
  </si>
  <si>
    <t>F-08.02</t>
  </si>
  <si>
    <t>F-09.02</t>
  </si>
  <si>
    <t>F-10.00</t>
  </si>
  <si>
    <t>F-11.01</t>
  </si>
  <si>
    <t>F-13.01</t>
  </si>
  <si>
    <t>F-13.02</t>
  </si>
  <si>
    <t>F-13.03</t>
  </si>
  <si>
    <t>F-14.00</t>
  </si>
  <si>
    <t>F-15.00</t>
  </si>
  <si>
    <t>F-16.01</t>
  </si>
  <si>
    <t>F-16.02</t>
  </si>
  <si>
    <t>F-16.03</t>
  </si>
  <si>
    <t>F-16.04</t>
  </si>
  <si>
    <t>F-16.05</t>
  </si>
  <si>
    <t>F-16.06</t>
  </si>
  <si>
    <t>F-16.07</t>
  </si>
  <si>
    <t>F-17.01</t>
  </si>
  <si>
    <t>F-17.02</t>
  </si>
  <si>
    <t>F-17.03</t>
  </si>
  <si>
    <t>F-20.01</t>
  </si>
  <si>
    <t>F-20.02</t>
  </si>
  <si>
    <t>F-20.03</t>
  </si>
  <si>
    <t>F-20.04</t>
  </si>
  <si>
    <t>Total Errors:</t>
  </si>
  <si>
    <t>F-20.05</t>
  </si>
  <si>
    <t>F-20.06</t>
  </si>
  <si>
    <t>F-21.00</t>
  </si>
  <si>
    <t>F-22.01</t>
  </si>
  <si>
    <t>F-22.02</t>
  </si>
  <si>
    <t>Data Specified in 20.1-20.3:</t>
  </si>
  <si>
    <t>30.Off-balance sheet activities: Interests in unconsolidated structured entities</t>
  </si>
  <si>
    <t>30.1 Interests in unconsolidated structured entities</t>
  </si>
  <si>
    <t>Carrying amount of financial assets recognised in the balance sheet</t>
  </si>
  <si>
    <t xml:space="preserve">Of which: liquidity support drawn </t>
  </si>
  <si>
    <t>Fair  value of liquidity support drawn</t>
  </si>
  <si>
    <t>Carrying amount of financial liabilities recognised in the balance sheet</t>
  </si>
  <si>
    <t>Of which: Nominal amount of loan commitments given</t>
  </si>
  <si>
    <t>Losses incurred by the reporting institution in the current period</t>
  </si>
  <si>
    <t>IFRS 12.29(a)</t>
  </si>
  <si>
    <t>IFRS 12.B26(e)</t>
  </si>
  <si>
    <t>30.2 Breakdown of interests in unconsolidated structured entities by nature of the activities</t>
  </si>
  <si>
    <t>By nature of the activities</t>
  </si>
  <si>
    <t>Securitisation Special Purpose Entities</t>
  </si>
  <si>
    <t>Other activities</t>
  </si>
  <si>
    <t>CRR art 4(1)(66)</t>
  </si>
  <si>
    <t>IFRS 12.28, B6.(a)</t>
  </si>
  <si>
    <t>Selected financial assets recognised in the reporting institution's balance sheet</t>
  </si>
  <si>
    <t>IFRS 12.29(a),(b)</t>
  </si>
  <si>
    <t>Selected equity and financial liabilites recognised in the reporting institution's balance sheet</t>
  </si>
  <si>
    <t>Equity instruments issued</t>
  </si>
  <si>
    <t>Deposits</t>
  </si>
  <si>
    <r>
      <t>Off-balance sheet items given by the</t>
    </r>
    <r>
      <rPr>
        <b/>
        <strike/>
        <sz val="8"/>
        <rFont val="Verdana"/>
        <family val="2"/>
      </rPr>
      <t xml:space="preserve"> </t>
    </r>
    <r>
      <rPr>
        <b/>
        <sz val="8"/>
        <rFont val="Verdana"/>
        <family val="2"/>
      </rPr>
      <t>reporting institution</t>
    </r>
  </si>
  <si>
    <t>31. Related parties</t>
  </si>
  <si>
    <t>31.1 Related parties: amounts payable to and amounts receivable from</t>
  </si>
  <si>
    <t>Outstanding balances</t>
  </si>
  <si>
    <t>Parent and entities with joint control or significant influence</t>
  </si>
  <si>
    <t>Subsidiaries and other entities of the same group</t>
  </si>
  <si>
    <t>Associates and joint ventures</t>
  </si>
  <si>
    <t>Key management of the institution or its parent</t>
  </si>
  <si>
    <t>Other related parties</t>
  </si>
  <si>
    <t>IAS 24.19(a),(b)</t>
  </si>
  <si>
    <t>IAS 24.19(f)</t>
  </si>
  <si>
    <t>IAS 24.19(g)</t>
  </si>
  <si>
    <t>Selected financial assets</t>
  </si>
  <si>
    <t>IAS 24.18(b)</t>
  </si>
  <si>
    <t xml:space="preserve">Loans and advances </t>
  </si>
  <si>
    <t>Selected financial liabilities</t>
  </si>
  <si>
    <t xml:space="preserve">Nominal amount of loan commitments, financial guarantees and other commitments given </t>
  </si>
  <si>
    <t>Notional amount of derivatives</t>
  </si>
  <si>
    <t>31.2 Related parties: expenses and income generated by transactions with</t>
  </si>
  <si>
    <t>IAS 24.19(c)</t>
  </si>
  <si>
    <t>IAS 24.19(d),(e)</t>
  </si>
  <si>
    <t>Interest expenses</t>
  </si>
  <si>
    <t>IAS 24.18(a); IFRS 7.20(c)</t>
  </si>
  <si>
    <t>Fee and commission expenses</t>
  </si>
  <si>
    <t>IAS 24.18(a)</t>
  </si>
  <si>
    <t xml:space="preserve">40. Group structure </t>
  </si>
  <si>
    <t xml:space="preserve">40.1 Group structure: "entity-by-entity" </t>
  </si>
  <si>
    <r>
      <t>LEI code</t>
    </r>
    <r>
      <rPr>
        <i/>
        <sz val="8"/>
        <rFont val="Verdana"/>
        <family val="2"/>
      </rPr>
      <t/>
    </r>
  </si>
  <si>
    <t>Entity code</t>
  </si>
  <si>
    <t>Entity name</t>
  </si>
  <si>
    <r>
      <t>Entry</t>
    </r>
    <r>
      <rPr>
        <b/>
        <sz val="8"/>
        <rFont val="Verdana"/>
        <family val="2"/>
      </rPr>
      <t xml:space="preserve"> date</t>
    </r>
  </si>
  <si>
    <t>Share capital</t>
  </si>
  <si>
    <t>Equity of investee</t>
  </si>
  <si>
    <t>Total assets of investee</t>
  </si>
  <si>
    <t>Profit or (-) loss of  investee</t>
  </si>
  <si>
    <t>Residence of investee</t>
  </si>
  <si>
    <t>Sector of investee</t>
  </si>
  <si>
    <t>NACE Code</t>
  </si>
  <si>
    <t>Accumulated equity interest [%]</t>
  </si>
  <si>
    <t>Voting rights [%]</t>
  </si>
  <si>
    <r>
      <t>Group structure [relationship]</t>
    </r>
    <r>
      <rPr>
        <sz val="8"/>
        <rFont val="Verdana"/>
        <family val="2"/>
      </rPr>
      <t/>
    </r>
  </si>
  <si>
    <t>Accounting treatment  [Accounting Group]</t>
  </si>
  <si>
    <t>Accounting treatment  [CRR Group]</t>
  </si>
  <si>
    <t>Acquisition cost</t>
  </si>
  <si>
    <t>Goodwill link to Investee</t>
  </si>
  <si>
    <t>Fair value of investments for which there are published price quotations</t>
  </si>
  <si>
    <t xml:space="preserve">40.2 Group structure: "instrument-by-instrument" </t>
  </si>
  <si>
    <t xml:space="preserve">Security code </t>
  </si>
  <si>
    <r>
      <t>Holding company LEI code</t>
    </r>
    <r>
      <rPr>
        <i/>
        <sz val="8"/>
        <rFont val="Verdana"/>
        <family val="2"/>
      </rPr>
      <t/>
    </r>
  </si>
  <si>
    <t>Holding company code</t>
  </si>
  <si>
    <t>Holding company name</t>
  </si>
  <si>
    <t>Accumulated equity interest
(%)</t>
  </si>
  <si>
    <t>Accounting treatment (Accounting Group)</t>
  </si>
  <si>
    <t>Accounting treatment (CRR Group)</t>
  </si>
  <si>
    <t>Country</t>
  </si>
  <si>
    <r>
      <t xml:space="preserve">NACE Code                                                                                                                                                                  </t>
    </r>
    <r>
      <rPr>
        <b/>
        <sz val="12"/>
        <color indexed="62"/>
        <rFont val="Calibri"/>
        <family val="2"/>
        <charset val="161"/>
      </rPr>
      <t xml:space="preserve">
</t>
    </r>
  </si>
  <si>
    <t>Description</t>
  </si>
  <si>
    <t>A</t>
  </si>
  <si>
    <r>
      <t>Agriculture, forestry and fishing</t>
    </r>
    <r>
      <rPr>
        <sz val="11"/>
        <color indexed="8"/>
        <rFont val="Calibri"/>
        <family val="2"/>
        <charset val="161"/>
      </rPr>
      <t xml:space="preserve"> </t>
    </r>
  </si>
  <si>
    <t>B</t>
  </si>
  <si>
    <r>
      <t>Mining and quarrying</t>
    </r>
    <r>
      <rPr>
        <sz val="11"/>
        <color indexed="8"/>
        <rFont val="Calibri"/>
        <family val="2"/>
        <charset val="161"/>
      </rPr>
      <t xml:space="preserve"> </t>
    </r>
  </si>
  <si>
    <t>C</t>
  </si>
  <si>
    <t>Manufacturing</t>
  </si>
  <si>
    <t>D</t>
  </si>
  <si>
    <r>
      <t>Electricity, gas, steam and air conditioning supply</t>
    </r>
    <r>
      <rPr>
        <sz val="11"/>
        <color indexed="8"/>
        <rFont val="Calibri"/>
        <family val="2"/>
        <charset val="161"/>
      </rPr>
      <t xml:space="preserve"> </t>
    </r>
  </si>
  <si>
    <t>E</t>
  </si>
  <si>
    <r>
      <t>Water supply; sewerage; waste managment and remediation activities</t>
    </r>
    <r>
      <rPr>
        <sz val="11"/>
        <color indexed="8"/>
        <rFont val="Calibri"/>
        <family val="2"/>
        <charset val="161"/>
      </rPr>
      <t xml:space="preserve"> </t>
    </r>
  </si>
  <si>
    <t>F</t>
  </si>
  <si>
    <t>Construction</t>
  </si>
  <si>
    <t>G</t>
  </si>
  <si>
    <t>Wholesale and retail trade; repair of motor vehicles and motorcycles</t>
  </si>
  <si>
    <t>H</t>
  </si>
  <si>
    <r>
      <t>Transporting and storage</t>
    </r>
    <r>
      <rPr>
        <sz val="11"/>
        <color indexed="8"/>
        <rFont val="Calibri"/>
        <family val="2"/>
        <charset val="161"/>
      </rPr>
      <t xml:space="preserve"> </t>
    </r>
  </si>
  <si>
    <t>I</t>
  </si>
  <si>
    <r>
      <t>Accommodation and food service activities</t>
    </r>
    <r>
      <rPr>
        <sz val="11"/>
        <color indexed="8"/>
        <rFont val="Calibri"/>
        <family val="2"/>
        <charset val="161"/>
      </rPr>
      <t xml:space="preserve"> </t>
    </r>
  </si>
  <si>
    <t>J</t>
  </si>
  <si>
    <r>
      <t>Information and communication</t>
    </r>
    <r>
      <rPr>
        <sz val="11"/>
        <color indexed="8"/>
        <rFont val="Calibri"/>
        <family val="2"/>
        <charset val="161"/>
      </rPr>
      <t xml:space="preserve"> </t>
    </r>
  </si>
  <si>
    <t>K64</t>
  </si>
  <si>
    <t>K66</t>
  </si>
  <si>
    <t>K65</t>
  </si>
  <si>
    <t>L</t>
  </si>
  <si>
    <r>
      <t>Real estate activities</t>
    </r>
    <r>
      <rPr>
        <sz val="11"/>
        <color indexed="8"/>
        <rFont val="Calibri"/>
        <family val="2"/>
        <charset val="161"/>
      </rPr>
      <t xml:space="preserve"> </t>
    </r>
  </si>
  <si>
    <t>M</t>
  </si>
  <si>
    <r>
      <t>Professional, scientific and technical activities</t>
    </r>
    <r>
      <rPr>
        <sz val="11"/>
        <color indexed="8"/>
        <rFont val="Calibri"/>
        <family val="2"/>
        <charset val="161"/>
      </rPr>
      <t xml:space="preserve"> </t>
    </r>
  </si>
  <si>
    <t>N</t>
  </si>
  <si>
    <r>
      <t>Administrative and support service activities</t>
    </r>
    <r>
      <rPr>
        <sz val="11"/>
        <color indexed="8"/>
        <rFont val="Calibri"/>
        <family val="2"/>
        <charset val="161"/>
      </rPr>
      <t xml:space="preserve"> </t>
    </r>
  </si>
  <si>
    <t>O</t>
  </si>
  <si>
    <t>Public administration and defence; compulsatory social security</t>
  </si>
  <si>
    <t>P</t>
  </si>
  <si>
    <t>Education</t>
  </si>
  <si>
    <t>Q</t>
  </si>
  <si>
    <r>
      <t>Human health and social work activities</t>
    </r>
    <r>
      <rPr>
        <sz val="11"/>
        <color indexed="8"/>
        <rFont val="Calibri"/>
        <family val="2"/>
        <charset val="161"/>
      </rPr>
      <t xml:space="preserve"> </t>
    </r>
  </si>
  <si>
    <t xml:space="preserve">R </t>
  </si>
  <si>
    <r>
      <t>Arts, entertainment and recreation</t>
    </r>
    <r>
      <rPr>
        <sz val="11"/>
        <color indexed="8"/>
        <rFont val="Calibri"/>
        <family val="2"/>
        <charset val="161"/>
      </rPr>
      <t xml:space="preserve"> </t>
    </r>
  </si>
  <si>
    <t>S</t>
  </si>
  <si>
    <r>
      <t>Other services activities</t>
    </r>
    <r>
      <rPr>
        <sz val="11"/>
        <color indexed="8"/>
        <rFont val="Calibri"/>
        <family val="2"/>
        <charset val="161"/>
      </rPr>
      <t xml:space="preserve"> </t>
    </r>
  </si>
  <si>
    <t>T</t>
  </si>
  <si>
    <t xml:space="preserve">Activities of hoseholds as employers; undifferentiated goods - and services - producing activities of households for own use </t>
  </si>
  <si>
    <t>U</t>
  </si>
  <si>
    <r>
      <t>Activities of extraterritorial organisations and bodies</t>
    </r>
    <r>
      <rPr>
        <sz val="11"/>
        <color indexed="8"/>
        <rFont val="Calibri"/>
        <family val="2"/>
        <charset val="161"/>
      </rPr>
      <t xml:space="preserve"> </t>
    </r>
  </si>
  <si>
    <t>41. Fair value</t>
  </si>
  <si>
    <t>41.1 Fair value hierarchy: financial instruments at amortised cost</t>
  </si>
  <si>
    <r>
      <t>Level 1</t>
    </r>
    <r>
      <rPr>
        <sz val="8"/>
        <rFont val="Verdana"/>
        <family val="2"/>
      </rPr>
      <t xml:space="preserve">
</t>
    </r>
    <r>
      <rPr>
        <i/>
        <sz val="8"/>
        <rFont val="Verdana"/>
        <family val="2"/>
      </rPr>
      <t>IFRS 13.76</t>
    </r>
  </si>
  <si>
    <r>
      <t>Level 2</t>
    </r>
    <r>
      <rPr>
        <sz val="8"/>
        <rFont val="Verdana"/>
        <family val="2"/>
      </rPr>
      <t xml:space="preserve">
</t>
    </r>
    <r>
      <rPr>
        <i/>
        <sz val="8"/>
        <rFont val="Verdana"/>
        <family val="2"/>
      </rPr>
      <t>IFRS 13.81</t>
    </r>
  </si>
  <si>
    <r>
      <t>Level 3</t>
    </r>
    <r>
      <rPr>
        <sz val="8"/>
        <rFont val="Verdana"/>
        <family val="2"/>
      </rPr>
      <t xml:space="preserve">
</t>
    </r>
    <r>
      <rPr>
        <i/>
        <sz val="8"/>
        <rFont val="Verdana"/>
        <family val="2"/>
      </rPr>
      <t>IFRS 13.86</t>
    </r>
  </si>
  <si>
    <t>41.2 Use of the Fair Value Option</t>
  </si>
  <si>
    <t>Accounting mismatch</t>
  </si>
  <si>
    <t>Financial liabilities designated  at fair value through profit or loss</t>
  </si>
  <si>
    <r>
      <t>42.</t>
    </r>
    <r>
      <rPr>
        <b/>
        <u/>
        <sz val="8"/>
        <rFont val="Times New Roman"/>
        <family val="1"/>
      </rPr>
      <t> </t>
    </r>
    <r>
      <rPr>
        <b/>
        <u/>
        <sz val="8"/>
        <rFont val="Verdana"/>
        <family val="2"/>
      </rPr>
      <t>Tangible and intangible assets: carrying amount by measurement method</t>
    </r>
  </si>
  <si>
    <t>IAS 16.6; IAS 16.29; IAS 1.54(a)</t>
  </si>
  <si>
    <t>IAS 16.31, 73(a),(d)</t>
  </si>
  <si>
    <t>IAS 16.30, 73(a),(d)</t>
  </si>
  <si>
    <t>IAS 40.5, 30; IAS 1.54(b)</t>
  </si>
  <si>
    <t>IAS 40.56, 79(c)</t>
  </si>
  <si>
    <t>IAS 38.75-87, 124(a)(ii)</t>
  </si>
  <si>
    <t>IAS 38.74</t>
  </si>
  <si>
    <t>43. Provisions</t>
  </si>
  <si>
    <t>IAS 37.70-83</t>
  </si>
  <si>
    <t>IAS 37.14</t>
  </si>
  <si>
    <t>Opening balance [carrying amount at the beginning of the period]</t>
  </si>
  <si>
    <t>IAS 37.84 (a)</t>
  </si>
  <si>
    <t>Additions, including increases in existing provisions</t>
  </si>
  <si>
    <t>IAS 37.84 (b)</t>
  </si>
  <si>
    <t>(-) Amounts used</t>
  </si>
  <si>
    <t>IAS 37.84 (c)</t>
  </si>
  <si>
    <t>(-) Unused amounts reversed during the period</t>
  </si>
  <si>
    <t>IAS 37.84 (d)</t>
  </si>
  <si>
    <t>Increase in the discounted amount [passage of time] and effect of any change in the discount rate</t>
  </si>
  <si>
    <t>IAS 37.84 (e)</t>
  </si>
  <si>
    <t>Other movements</t>
  </si>
  <si>
    <t>Closing balance [carrying amount at the end of the period]</t>
  </si>
  <si>
    <r>
      <t>44.</t>
    </r>
    <r>
      <rPr>
        <b/>
        <u/>
        <sz val="8"/>
        <rFont val="Times New Roman"/>
        <family val="1"/>
      </rPr>
      <t> </t>
    </r>
    <r>
      <rPr>
        <b/>
        <u/>
        <sz val="8"/>
        <rFont val="Verdana"/>
        <family val="2"/>
      </rPr>
      <t>Defined benefit plans and employee benefits</t>
    </r>
  </si>
  <si>
    <t>44.1 Components of net defined benefit plan assets and liabilities</t>
  </si>
  <si>
    <t>Amount</t>
  </si>
  <si>
    <t>Fair value of defined benefit plan assets</t>
  </si>
  <si>
    <t>IAS 19.140(a)(i), 142</t>
  </si>
  <si>
    <t>Of which: Financial instruments issued by the institution</t>
  </si>
  <si>
    <t>IAS 19.143</t>
  </si>
  <si>
    <t>IAS 19.142(b)</t>
  </si>
  <si>
    <t>Debt instruments</t>
  </si>
  <si>
    <t>IAS 19.142(c)</t>
  </si>
  <si>
    <t>Real estate</t>
  </si>
  <si>
    <t>IAS 19.142(d)</t>
  </si>
  <si>
    <t>Other defined benefit plan assets</t>
  </si>
  <si>
    <t>Present value of defined benefit obligations</t>
  </si>
  <si>
    <t>IAS 19.140(a)(ii)</t>
  </si>
  <si>
    <t>Effect of the asset ceiling</t>
  </si>
  <si>
    <t>IAS 19.140(a)(iii)</t>
  </si>
  <si>
    <t>Net defined benefit assets [Carrying amount]</t>
  </si>
  <si>
    <t>Provisions for pensions and other post-employment defined benefit obligations [Carrying amount]</t>
  </si>
  <si>
    <t>Memo item: Fair value of any right to reimbursement recognised as an asset</t>
  </si>
  <si>
    <t xml:space="preserve">IAS 19.140(b) </t>
  </si>
  <si>
    <t>44.2 Movements in defined benefit obligations</t>
  </si>
  <si>
    <t>Defined benefit obligations</t>
  </si>
  <si>
    <t>Opening balance [present value]</t>
  </si>
  <si>
    <t>Current service cost</t>
  </si>
  <si>
    <t>IAS 19.141(a)</t>
  </si>
  <si>
    <t>Interest cost</t>
  </si>
  <si>
    <t>IAS 19.141(b)</t>
  </si>
  <si>
    <t>Contributions paid</t>
  </si>
  <si>
    <t>IAS 19.141(f)</t>
  </si>
  <si>
    <t>Actuarial (-) gains or losses from changes in demographic assumptions</t>
  </si>
  <si>
    <t>IAS 19.141(c)(ii)</t>
  </si>
  <si>
    <t>Actuarial (-) gains or losses from changes in financial assumptions</t>
  </si>
  <si>
    <t>IAS 19.141(c)(iii)</t>
  </si>
  <si>
    <t>Foreign currency exchange increase or (-) decrease</t>
  </si>
  <si>
    <t>Benefits paid</t>
  </si>
  <si>
    <t>IAS 19.141(g)</t>
  </si>
  <si>
    <r>
      <t>Past service cost,</t>
    </r>
    <r>
      <rPr>
        <strike/>
        <sz val="8"/>
        <rFont val="Verdana"/>
        <family val="2"/>
      </rPr>
      <t xml:space="preserve"> </t>
    </r>
    <r>
      <rPr>
        <sz val="8"/>
        <rFont val="Verdana"/>
        <family val="2"/>
      </rPr>
      <t>including gains and losses arising from settlements</t>
    </r>
  </si>
  <si>
    <t>IAS 19.141(d)</t>
  </si>
  <si>
    <t>Increase or (-) decrease through business combinations and disposals</t>
  </si>
  <si>
    <t>IAS 19.141(h)</t>
  </si>
  <si>
    <t>Other increases or (-) decreases</t>
  </si>
  <si>
    <t>Closing balance [present value]</t>
  </si>
  <si>
    <t>44.3 Memo items [related to staff expenses]</t>
  </si>
  <si>
    <t>Pension and similar expenses</t>
  </si>
  <si>
    <t>Share based payments</t>
  </si>
  <si>
    <t>45. Breakdown of selected items of statement of profit or loss</t>
  </si>
  <si>
    <t>45.1 Gains or losses on financial assets and liabilities designated at fair value through profit or loss by accounting portfolio</t>
  </si>
  <si>
    <t xml:space="preserve">Changes in fair value due to credit risk </t>
  </si>
  <si>
    <t>IAS 40.69; IAS 1.34(a), 98(d)</t>
  </si>
  <si>
    <t xml:space="preserve">IAS 38.113-115A; IAS 1.34(a) </t>
  </si>
  <si>
    <t>IAS 1.34 (a)</t>
  </si>
  <si>
    <t>45.3 Other operating income and expenses</t>
  </si>
  <si>
    <t>Changes in fair value in tangible assets measured using the fair value model</t>
  </si>
  <si>
    <t>OTHER OPERATING INCOME OR EXPENSES</t>
  </si>
  <si>
    <t>46. Statement of changes in equity</t>
  </si>
  <si>
    <t>Sources of equity changes</t>
  </si>
  <si>
    <t xml:space="preserve">Capital </t>
  </si>
  <si>
    <t xml:space="preserve">Share premium </t>
  </si>
  <si>
    <t>Equity instruments issued other than Capital</t>
  </si>
  <si>
    <t xml:space="preserve">Other equity </t>
  </si>
  <si>
    <t>Other reserves</t>
  </si>
  <si>
    <r>
      <t>(-) Treasury shares</t>
    </r>
    <r>
      <rPr>
        <sz val="10"/>
        <rFont val="Verdana"/>
        <family val="2"/>
      </rPr>
      <t xml:space="preserve">
</t>
    </r>
  </si>
  <si>
    <t xml:space="preserve">Profit or (-) loss atributable to owners of the parent
</t>
  </si>
  <si>
    <t>Minority interests</t>
  </si>
  <si>
    <t>Revaluation reserves and other valuation differences</t>
  </si>
  <si>
    <t>IAS 1.106, 54(r)</t>
  </si>
  <si>
    <t>IAS 1.106, 78(e)</t>
  </si>
  <si>
    <t>IAS 1.106, Annex V.Part 2.15-16</t>
  </si>
  <si>
    <t>IAS 1.106; Annex V.Part 2.17</t>
  </si>
  <si>
    <t>IAS 1.106</t>
  </si>
  <si>
    <t>IFRS 1.30 D5-D8</t>
  </si>
  <si>
    <t>IAS 1.106, 54(c)</t>
  </si>
  <si>
    <t>IAS 1.106; IAS 32.34, 33; Annex V.Part 2.20</t>
  </si>
  <si>
    <t>IAS 1.106(a), 83 (a)(ii)</t>
  </si>
  <si>
    <t>IAS 1.106; IAS 32.35</t>
  </si>
  <si>
    <t>IAS 1.54(q), 106(a); IAS 27.27-28</t>
  </si>
  <si>
    <t>IAS 1.9(c), IG6</t>
  </si>
  <si>
    <t>Opening balance [before restatement]</t>
  </si>
  <si>
    <t>Effects of corrections of errors</t>
  </si>
  <si>
    <t>IAS 1.106.(b); IAS 8.42</t>
  </si>
  <si>
    <t>Effects of changes in accounting policies</t>
  </si>
  <si>
    <t>IAS 1.106.(b); IAS 1.IG6; IAS 8.22</t>
  </si>
  <si>
    <t>Opening balance [current period]</t>
  </si>
  <si>
    <t>Issuance of ordinary shares</t>
  </si>
  <si>
    <t>IAS 1.106.(d).(iii)</t>
  </si>
  <si>
    <t>Issuance of preference shares</t>
  </si>
  <si>
    <t>Issuance of other equity instruments</t>
  </si>
  <si>
    <t>Exercise or expiration of other equity instruments issued</t>
  </si>
  <si>
    <t>Conversion of debt to equity</t>
  </si>
  <si>
    <t>Capital reduction</t>
  </si>
  <si>
    <t>Dividends</t>
  </si>
  <si>
    <t>IAS 1.106.(d).(iii); IAS 32.35; IAS 1.IG6</t>
  </si>
  <si>
    <t>Purchase of treasury shares</t>
  </si>
  <si>
    <t>IAS 1.106.(d).(iii); IAS 32.33</t>
  </si>
  <si>
    <t>Sale or cancellation of treasury shares</t>
  </si>
  <si>
    <t>Reclassification of financial instruments from equity to liability</t>
  </si>
  <si>
    <t>Reclassification of financial instruments from liability to equity</t>
  </si>
  <si>
    <t xml:space="preserve">IAS 1.106.(d).(iii) </t>
  </si>
  <si>
    <t xml:space="preserve">Transfers among components of equity </t>
  </si>
  <si>
    <t>Equity increase or (-) decrease resulting from business combinations</t>
  </si>
  <si>
    <t>IAS 1.106.(d).(iii); IFRS 2.10</t>
  </si>
  <si>
    <t>Other increase or (-) decrease in equity</t>
  </si>
  <si>
    <t>IAS 1.106.(d)</t>
  </si>
  <si>
    <t>IAS 1.106.(d).(i)-(ii); IAS 1.81A.(c); IAS 1.IG6</t>
  </si>
  <si>
    <t>Closing balance [current period]</t>
  </si>
  <si>
    <t>F-30.01</t>
  </si>
  <si>
    <t>F-30.02</t>
  </si>
  <si>
    <t>F-31.01</t>
  </si>
  <si>
    <t>F-31.02</t>
  </si>
  <si>
    <t>F-40.01</t>
  </si>
  <si>
    <t>F-40.02</t>
  </si>
  <si>
    <t>F-41.01</t>
  </si>
  <si>
    <t>F-41.02</t>
  </si>
  <si>
    <t>F-42.00</t>
  </si>
  <si>
    <t>F-43.00</t>
  </si>
  <si>
    <t>F-44.01</t>
  </si>
  <si>
    <t>F-44.02</t>
  </si>
  <si>
    <t>F-44.03</t>
  </si>
  <si>
    <t>F-46.00</t>
  </si>
  <si>
    <t>F-45.01</t>
  </si>
  <si>
    <t>F-45.02</t>
  </si>
  <si>
    <t>F-45.03</t>
  </si>
  <si>
    <t>Gains or (-) losses on financial assets and liabilities not measured at fair value through profit or loss, net</t>
  </si>
  <si>
    <t xml:space="preserve">Gains or (-) losses on derecognition of non financial assets other than held for sale, net </t>
  </si>
  <si>
    <t xml:space="preserve">Of which: Residential mortgage loans </t>
  </si>
  <si>
    <t>Annex V.Part 2.25</t>
  </si>
  <si>
    <t>085</t>
  </si>
  <si>
    <t>Interest income on liabilities</t>
  </si>
  <si>
    <t>(Interest expense on assets)</t>
  </si>
  <si>
    <t>GAINS OR (-) LOSSES ON FINANCIAL ASSETS AND LIABILITIES DESIGNATED AT FAIR VALUE THROUGH PROFIT OR LOSS</t>
  </si>
  <si>
    <t>(Financial liabilities held for trading)</t>
  </si>
  <si>
    <t>ECB/2013/33 Annex 2.Part 2.9.1</t>
  </si>
  <si>
    <t>ECB/2013/33 Annex 2.Part 2.9.2</t>
  </si>
  <si>
    <t>ECB/2013/33 Annex 2.Part 2.9.4</t>
  </si>
  <si>
    <t>IAS 1.106.(d).(iii); Annex V.Part 2.318</t>
  </si>
  <si>
    <t>IFRS 7.20(a)(i); IFRS 9.4.1.5</t>
  </si>
  <si>
    <t>IFRS 7.20(a)(i); IFRS 9.4.2.2</t>
  </si>
  <si>
    <r>
      <t xml:space="preserve">Carrying amount
</t>
    </r>
    <r>
      <rPr>
        <i/>
        <sz val="8"/>
        <rFont val="Verdana"/>
        <family val="2"/>
      </rPr>
      <t>Annex V.Part 1.27</t>
    </r>
  </si>
  <si>
    <t>IAS 19.63; IAS 1.78(d); Annex V.Part 2.9</t>
  </si>
  <si>
    <t>IAS 19.153; IAS 1.78(d); Annex V.Part 2.10</t>
  </si>
  <si>
    <t xml:space="preserve">Other commitments and guarantees given measured under IAS 37 and guarantees given measured under IFRS 4 </t>
  </si>
  <si>
    <t>IAS 37; IFRS 4; Annex V. Part 2.304-305</t>
  </si>
  <si>
    <t>055</t>
  </si>
  <si>
    <t>IAS 40.33-55, 76</t>
  </si>
  <si>
    <t>IAS 38.8, 118, 122 ; Annex V.Part 2.303</t>
  </si>
  <si>
    <t>IFRS 7.8(g); IFRS 9.4.2.1</t>
  </si>
  <si>
    <t>ECB/2013/33 Annex 2.Part 2.9; Annex V.Part 1.36</t>
  </si>
  <si>
    <t>Annex V.Part 1.37</t>
  </si>
  <si>
    <t>Annex V.Part 1.38-41</t>
  </si>
  <si>
    <t>015</t>
  </si>
  <si>
    <t>Financial assets at amortised cost</t>
  </si>
  <si>
    <t>IFRS 7.8(f); IFRS 9.4.1.2</t>
  </si>
  <si>
    <t>016</t>
  </si>
  <si>
    <t>017</t>
  </si>
  <si>
    <t>Annex V.Part 1.32</t>
  </si>
  <si>
    <r>
      <t xml:space="preserve">References
</t>
    </r>
    <r>
      <rPr>
        <i/>
        <sz val="8"/>
        <rFont val="Verdana"/>
        <family val="2"/>
      </rPr>
      <t>Annex V.Part 2.298</t>
    </r>
  </si>
  <si>
    <r>
      <t xml:space="preserve">Fair value
</t>
    </r>
    <r>
      <rPr>
        <i/>
        <sz val="8"/>
        <rFont val="Verdana"/>
        <family val="2"/>
      </rPr>
      <t>IFRS 7.25-26</t>
    </r>
  </si>
  <si>
    <r>
      <t>Fair value hierarchy</t>
    </r>
    <r>
      <rPr>
        <sz val="8"/>
        <rFont val="Verdana"/>
        <family val="2"/>
      </rPr>
      <t xml:space="preserve">
</t>
    </r>
    <r>
      <rPr>
        <i/>
        <sz val="8"/>
        <rFont val="Verdana"/>
        <family val="2"/>
      </rPr>
      <t>IFRS 13.97, 93(b)</t>
    </r>
  </si>
  <si>
    <t>IFRS 7.8(a)(i); IFRS 9.4.1.5</t>
  </si>
  <si>
    <t>IFRS 9.B4.1.29</t>
  </si>
  <si>
    <t>Managed on a fair value basis</t>
  </si>
  <si>
    <t>Managed for credit risk</t>
  </si>
  <si>
    <t>IFRS 9.6.7; IFRS 7.8(a)(e); Annex V.Part 2.301</t>
  </si>
  <si>
    <t xml:space="preserve"> IFRS 9.B4.1.33</t>
  </si>
  <si>
    <t>IFRS 9.4.3.6; IFRS 9.4.3.7; Annex V.Part 2.300</t>
  </si>
  <si>
    <t>IFRS 7.8 (e)(i); IFRS 9.4.2.2</t>
  </si>
  <si>
    <t xml:space="preserve">Annex V.Part 2.294-295, 296(a) </t>
  </si>
  <si>
    <t xml:space="preserve">Annex V.Part 2.294-295, 296(b) </t>
  </si>
  <si>
    <t>IFRS 12.12(a), 21(a)(i); Annex V.Part 2.294-295, 296(c)</t>
  </si>
  <si>
    <t>Annex V.Part 2.294-295, 296(d)</t>
  </si>
  <si>
    <t>Annex V.Part 2.294-295, 296(e)</t>
  </si>
  <si>
    <t>IFRS 12.B12(b); Annex V.Part 2.294-295, 296(f)</t>
  </si>
  <si>
    <t>IFRS 12.12.(b), 21.(a).(iii); Annex V.Part 2.294-295, 296(g)</t>
  </si>
  <si>
    <t>Annex V.Part 2.294-295, 296(h)</t>
  </si>
  <si>
    <t>Annex V.Part 2.294-295, 296(i)</t>
  </si>
  <si>
    <t>IFRS 12.21(a)(iv); Annex V.Part 2.294-295, 296(j)</t>
  </si>
  <si>
    <t>IFRS 12.21(a)(iv); Annex V.Part 2.294-295, 296(k)</t>
  </si>
  <si>
    <t>IFRS 12.10(a)(i); Annex V.Part 2.294-295, 296(l)</t>
  </si>
  <si>
    <t>IFRS 12.21(b); Annex V.Part 2.294-295, 296(m)</t>
  </si>
  <si>
    <t>CRR art 18; Annex V.Part 2.294-295, 296(n)</t>
  </si>
  <si>
    <t>Annex V.Part 2.294-295, 296(0)</t>
  </si>
  <si>
    <t>Annex V.Part 2.294-295, 296(p)</t>
  </si>
  <si>
    <t>Annex V.Part 2.294-295, 296(q)</t>
  </si>
  <si>
    <t>IFRS 12.21(b)(iii); Annex V.Part 2.294-295, 296(r)</t>
  </si>
  <si>
    <t>Annex V.Part 2.297(a)</t>
  </si>
  <si>
    <t xml:space="preserve">Annex V.Part 2.296(b), 297(c) </t>
  </si>
  <si>
    <t xml:space="preserve">Annex V.Part 2.297(b) </t>
  </si>
  <si>
    <t>Annex V.Part 2.296(j), 297(c)</t>
  </si>
  <si>
    <t>Annex V.Part 2.296(o), 297(c)</t>
  </si>
  <si>
    <t>Annex V.Part 2.296(p), 297(c)</t>
  </si>
  <si>
    <t>Provisions on non-performing off-balance sheet exposures</t>
  </si>
  <si>
    <t>Annex V.Part 2.11, 106, 291</t>
  </si>
  <si>
    <t>Annex V. Part 2.213-239</t>
  </si>
  <si>
    <t>IAS 24.18(b); 
CRR Annex I; Annex V.Part 2.102-105, 113-115, 118</t>
  </si>
  <si>
    <t>IAS 24.18(b); Annex V. Part 2.117</t>
  </si>
  <si>
    <t>IAS 24.18(b); Annex V.Part 2.290</t>
  </si>
  <si>
    <t>Annex V.Part 2.133-135</t>
  </si>
  <si>
    <t>Accumulated impairment and accumulated negative changes in fair value due to credit risk on non-performing exposures</t>
  </si>
  <si>
    <t>IAS 24.1(c); Annex V.Part 2.69-71, 291</t>
  </si>
  <si>
    <t>IAS 24.19(c); Annex V.Part 2.289</t>
  </si>
  <si>
    <t>IAS 24.19(d),(e); Annex V.Part 2.289</t>
  </si>
  <si>
    <r>
      <t xml:space="preserve">References 
</t>
    </r>
    <r>
      <rPr>
        <i/>
        <sz val="8"/>
        <rFont val="Verdana"/>
        <family val="2"/>
      </rPr>
      <t>Annex V.Part 2.288-291</t>
    </r>
  </si>
  <si>
    <r>
      <t xml:space="preserve">References 
</t>
    </r>
    <r>
      <rPr>
        <i/>
        <sz val="8"/>
        <rFont val="Verdana"/>
        <family val="2"/>
      </rPr>
      <t>Annex V.Part 2.288-289, 292-293</t>
    </r>
  </si>
  <si>
    <t>IAS 24.18(a); Annex V.Part 2.31</t>
  </si>
  <si>
    <t>IAS 24.18(a); IAS 1.97; Annex V.Part 2.31</t>
  </si>
  <si>
    <t>IAS 24.18(a); Annex V.Part 2.40</t>
  </si>
  <si>
    <t xml:space="preserve">Gains or (-) losses on de-recognition of financial assets and liabilities not measured at fair value through profit or loss </t>
  </si>
  <si>
    <t>Gains or (-) losses on de-recognition of other than financial assets</t>
  </si>
  <si>
    <t>IAS 24.18(a); Annex V.Part 2.292</t>
  </si>
  <si>
    <r>
      <t>Impairment or (-) reversal of impairment on non-performing exposures</t>
    </r>
    <r>
      <rPr>
        <i/>
        <sz val="8"/>
        <rFont val="Verdana"/>
        <family val="2"/>
      </rPr>
      <t/>
    </r>
  </si>
  <si>
    <t>IAS 24.18(d); Annex V.Part 2.293</t>
  </si>
  <si>
    <r>
      <t>Provisions or (-) reversal of provisions on non-performing exposures</t>
    </r>
    <r>
      <rPr>
        <i/>
        <sz val="8"/>
        <rFont val="Verdana"/>
        <family val="2"/>
      </rPr>
      <t/>
    </r>
  </si>
  <si>
    <t>Annex V. Part 2.50, 293</t>
  </si>
  <si>
    <t>IFRS 12.29(a); Annex V.Part 2.286</t>
  </si>
  <si>
    <t>IFRS 12 B26(b); Annex V.Part 2.287</t>
  </si>
  <si>
    <r>
      <t>Nominal amount of off-balance sheet exposures given by the reporting</t>
    </r>
    <r>
      <rPr>
        <b/>
        <strike/>
        <sz val="8"/>
        <rFont val="Verdana"/>
        <family val="2"/>
      </rPr>
      <t xml:space="preserve"> </t>
    </r>
    <r>
      <rPr>
        <b/>
        <sz val="8"/>
        <rFont val="Verdana"/>
        <family val="2"/>
      </rPr>
      <t>institution</t>
    </r>
  </si>
  <si>
    <t>Annex V.Part 2.285(a)</t>
  </si>
  <si>
    <r>
      <rPr>
        <b/>
        <sz val="8"/>
        <rFont val="Verdana"/>
        <family val="2"/>
      </rPr>
      <t>Carrying amount</t>
    </r>
    <r>
      <rPr>
        <sz val="8"/>
        <rFont val="Verdana"/>
        <family val="2"/>
      </rPr>
      <t xml:space="preserve">
</t>
    </r>
  </si>
  <si>
    <t>Annex V.Part 2.213-239</t>
  </si>
  <si>
    <t>IFRS 9 Appendix A; Annex V.Part 2.272</t>
  </si>
  <si>
    <t>IFRS 12.B26.(e); CRR Annex I; Annex V.Part 2.102-105, 113-115, 118</t>
  </si>
  <si>
    <t>Annex V.Part 2.117</t>
  </si>
  <si>
    <r>
      <rPr>
        <b/>
        <sz val="8"/>
        <rFont val="Verdana"/>
        <family val="2"/>
      </rPr>
      <t>Nominal amount</t>
    </r>
    <r>
      <rPr>
        <sz val="8"/>
        <rFont val="Verdana"/>
        <family val="2"/>
      </rPr>
      <t xml:space="preserve">
</t>
    </r>
  </si>
  <si>
    <t xml:space="preserve">References </t>
  </si>
  <si>
    <t>Annex V.Part 2.280</t>
  </si>
  <si>
    <t>IFRS 7.20(c )</t>
  </si>
  <si>
    <t>Annex V.Part 2.281-283</t>
  </si>
  <si>
    <t>Annex V.Part 2.284(a)</t>
  </si>
  <si>
    <t>Annex V.Part 2.284(b)</t>
  </si>
  <si>
    <t>Annex V.Part 2.284(c)</t>
  </si>
  <si>
    <t>Annex V.Part 2.284(d)</t>
  </si>
  <si>
    <t>Annex V.Part 2.284(e); 285(a)</t>
  </si>
  <si>
    <t>Annex V.Part 2.284(e); 285(b)</t>
  </si>
  <si>
    <t>Annex V.Part 2.284(e); 285(c)</t>
  </si>
  <si>
    <t>Annex V.Part 2.284(e); 285(d)</t>
  </si>
  <si>
    <t>Annex V.Part 2.284(e), 285(e)</t>
  </si>
  <si>
    <t>Annex V.Part 2.285(f)</t>
  </si>
  <si>
    <t>Annex V.Part 2.284(f)</t>
  </si>
  <si>
    <t>Annex V.Part 2.284(g)</t>
  </si>
  <si>
    <t>IFRS 9.4.2.1 (c)(ii); Annex V.Part 2.284(h)</t>
  </si>
  <si>
    <t>Annex V.Part 2.284(j)</t>
  </si>
  <si>
    <t>Annex V.Part 2.285(b)</t>
  </si>
  <si>
    <t>Annex V.Part 2.284(i)</t>
  </si>
  <si>
    <t>Annex V.Part 2.285(c)</t>
  </si>
  <si>
    <t>Annex V.Part 2.285(d)</t>
  </si>
  <si>
    <t>Annex V.Part 2.285(e)</t>
  </si>
  <si>
    <t>Annex V.Part 2.285(g)</t>
  </si>
  <si>
    <t>Annex V.Part 2.278-279</t>
  </si>
  <si>
    <t>IFRS 9. Appendix A</t>
  </si>
  <si>
    <t>IFRS 7.8(a)(ii); IFRS 9.4.1.4</t>
  </si>
  <si>
    <t>IFRS 7.8(h); IFRS 9.4.1.2A</t>
  </si>
  <si>
    <t>IFRS 9.6.2.1; Annex V.Part 1.22</t>
  </si>
  <si>
    <t>IAS 39.89A(a); IFRS 9.6.5.8</t>
  </si>
  <si>
    <t>IAS 1.54(e); Annex V.Part 1.21, Part 2.4</t>
  </si>
  <si>
    <t>IAS 1.54(j); IFRS 5.38, Annex V.Part 2.7</t>
  </si>
  <si>
    <t>Annex V.Part 2.270</t>
  </si>
  <si>
    <t>096</t>
  </si>
  <si>
    <t>Non-trading financial assets mandatorily at fair value through profit or loss</t>
  </si>
  <si>
    <t>097</t>
  </si>
  <si>
    <t>098</t>
  </si>
  <si>
    <t>099</t>
  </si>
  <si>
    <t>Financial assets at fair value through other comprehensive income</t>
  </si>
  <si>
    <t>IFRS 7.8 (e) (ii); IFRS 9.BA.6</t>
  </si>
  <si>
    <t>IFRS 9.Appendix A; IFRS 9.4.2.1(a); IFRS 9.BA.7(a)</t>
  </si>
  <si>
    <t>IFRS 9.BA7(b)</t>
  </si>
  <si>
    <t>IFRS 9.6.2.1; Annex V.Part 1.26</t>
  </si>
  <si>
    <t>IAS 39.89A(b), IFRS 9.6.5.8</t>
  </si>
  <si>
    <t>IAS 32 IE 33; IFRIC 2; Annex V.Part 2.12</t>
  </si>
  <si>
    <t>Annex V.Part 2.13</t>
  </si>
  <si>
    <t>IAS 1.54 (p); IFRS 5.38, Annex V.Part 2.14</t>
  </si>
  <si>
    <t>083</t>
  </si>
  <si>
    <t>Gains or (-) losses on non-trading financial assets mandatorily at fair value through profit or loss</t>
  </si>
  <si>
    <t>IFRS 9.5.7.1</t>
  </si>
  <si>
    <t>Modification gains or (-) losses, net</t>
  </si>
  <si>
    <t>IFRS 9.5.4.3, IFRS 9 Appendix A; Annex V Part 2.49</t>
  </si>
  <si>
    <t>IAS 1.97; Annex V.Part 2.31</t>
  </si>
  <si>
    <t>Annex V.Part 2.40</t>
  </si>
  <si>
    <t>IFRS 7.20(a)(i); IFRS 9.5.7.1; Annex V.Part 2.43, 46</t>
  </si>
  <si>
    <t>IFRS 7.20(a)(i); IFRS 9.5.7.1; Annex V.Part 2.44</t>
  </si>
  <si>
    <t>Annex V.Part 2.47-48</t>
  </si>
  <si>
    <t xml:space="preserve">Gains or (-) losses on derecognition of non financial assets, net </t>
  </si>
  <si>
    <t>Annex V.Part 2.314-316</t>
  </si>
  <si>
    <t>IFRS 7.20(a)(viii); Annex V Part 2.51, 53</t>
  </si>
  <si>
    <t>Annex V.Part 2.54</t>
  </si>
  <si>
    <t>IFRS 5.37; Annex V.Part 2.55</t>
  </si>
  <si>
    <t>IAS 1.82(ea) ; IFRS 5.33(a), 5.33 A; Annex V Part 2.56</t>
  </si>
  <si>
    <t>IFRS 9 Appendix A, Annex V.Part 2.272</t>
  </si>
  <si>
    <t>Annex V.Part 1.42(c)</t>
  </si>
  <si>
    <t>Annex V.Part 1.42(d)</t>
  </si>
  <si>
    <t>Annex V.Part 1.42(e)</t>
  </si>
  <si>
    <t>Annex V.Part 1.31, 44(b)</t>
  </si>
  <si>
    <t>Annex V.Part 1.42(a)</t>
  </si>
  <si>
    <t>Annex V.Part 1.42(b)</t>
  </si>
  <si>
    <t>Annex V.Part 1.32, 44(a)</t>
  </si>
  <si>
    <t>Annex V.Part 2.86(a), 87</t>
  </si>
  <si>
    <t>Annex V.Part 1.42(f)</t>
  </si>
  <si>
    <t>Annex V.Part 2.88(a)</t>
  </si>
  <si>
    <t>Of which: held for trading or trading</t>
  </si>
  <si>
    <t>of which: financial assets subject to impairment</t>
  </si>
  <si>
    <t>Annex V.Part 1.15(a), Part 2.273</t>
  </si>
  <si>
    <t>Annex V.Part 2.273</t>
  </si>
  <si>
    <t>011</t>
  </si>
  <si>
    <t>Of which: non-perfoming</t>
  </si>
  <si>
    <t>Annex V.Part 2.275</t>
  </si>
  <si>
    <t>Annex V.Part 2.274</t>
  </si>
  <si>
    <t>Accumulated negative changes in fair value due to credit risk on non-performing exposures</t>
  </si>
  <si>
    <t>Annex V.Part 1.34, Part 2.271, 275</t>
  </si>
  <si>
    <t>CRR Annex I; Annex V.Part 1.44(g), Part 2.102-105, 113, 116</t>
  </si>
  <si>
    <t>IFRS 4 Annex A; CRR Annex I;  Annex V.Part 1.44(f), Part 2.102-105, 114, 116</t>
  </si>
  <si>
    <t>CRR Annex I; Annex V.Part 1.44(g), Part 2.102-105, 115, 116</t>
  </si>
  <si>
    <t>Annex V.Part 2.118, 271</t>
  </si>
  <si>
    <t>Annex V.Part 2.240-258</t>
  </si>
  <si>
    <t>Annex V.Part 2.276</t>
  </si>
  <si>
    <t>Annex V.Part 1.27, 2.271</t>
  </si>
  <si>
    <t>IFRS 9 Appendix A, Annex V.Part 1.44(e), Part 2.272</t>
  </si>
  <si>
    <t>IFRS 9.BA7(b); Annex V.Part 1.44(d)</t>
  </si>
  <si>
    <t xml:space="preserve">20.7.1 Geographical breakdown by residence of the counterparty of loans and advances other than held for trading to non-financial corporations by NACE codes </t>
  </si>
  <si>
    <t>K Financial and insurance activities</t>
  </si>
  <si>
    <r>
      <t xml:space="preserve">Non-financial corporations
</t>
    </r>
    <r>
      <rPr>
        <i/>
        <sz val="8"/>
        <rFont val="Verdana"/>
        <family val="2"/>
      </rPr>
      <t>Annex V. Part 2.271, 277</t>
    </r>
  </si>
  <si>
    <t>of which: loans and advances subject to impairment</t>
  </si>
  <si>
    <t>Annex V.Part 1.34, Part 2.275</t>
  </si>
  <si>
    <t>Annex V.Part 1.27, Part 2.209</t>
  </si>
  <si>
    <t>IFRS 9.4.1.4</t>
  </si>
  <si>
    <r>
      <t>IFRS 7.8(a)(ii);</t>
    </r>
    <r>
      <rPr>
        <i/>
        <sz val="8"/>
        <rFont val="Verdana"/>
        <family val="2"/>
      </rPr>
      <t>IFRS 9.Appendix A</t>
    </r>
  </si>
  <si>
    <t>IFRS 9.Appendix A</t>
  </si>
  <si>
    <t>IAS 1.54(e); Annex V.Part 1.21, Part 2.4, 210</t>
  </si>
  <si>
    <t>IFRS 4.IG20.(b)-(c); Annex V.Part 2.211</t>
  </si>
  <si>
    <t>Annex V.Part 2.118, 209</t>
  </si>
  <si>
    <t>IFRS 4.IG20(a); Annex V.Part 2.212</t>
  </si>
  <si>
    <t>Annex V.Part 2.18-19</t>
  </si>
  <si>
    <t>IFRS 2.10; Annex V.Part 2.20</t>
  </si>
  <si>
    <t>IFRS 1.33, D5-D8</t>
  </si>
  <si>
    <t>IAS 1.79(a)(vi); IAS 32.33-34, AG 14, AG 36;  Annex V.Part 2.28</t>
  </si>
  <si>
    <t>IFRS 10.B94</t>
  </si>
  <si>
    <t>IAS 1.54(q); IFRS 10.22, .B94</t>
  </si>
  <si>
    <t>of which: interest income from derivatives in economic hedges</t>
  </si>
  <si>
    <t>Annex V.Part 2.193</t>
  </si>
  <si>
    <t>of which: interest-income on credit impaired financial assets</t>
  </si>
  <si>
    <t>IFRS 9.5.4.1; .B5.4.7; Annex V.Part 2.194</t>
  </si>
  <si>
    <t>IFRS 9.Appendix A, .BA.1, .BA.6; Annex V.Part 2.193</t>
  </si>
  <si>
    <t>ECB/2013/33 Annex 2.Part 2.9;  Annex V.Part 1.36</t>
  </si>
  <si>
    <t>Annex V.Part 1.32-34, Part 2.191</t>
  </si>
  <si>
    <t>Annex V.Part 2.192</t>
  </si>
  <si>
    <t>IAS 1.97</t>
  </si>
  <si>
    <t>Annex V.Part 2.187, 189</t>
  </si>
  <si>
    <t>Annex V.Part 2.188, 190</t>
  </si>
  <si>
    <t>Annex V. Part 2.195-196</t>
  </si>
  <si>
    <t>of which: Economic hedges with use of the fair value option</t>
  </si>
  <si>
    <t>IFRS 9.6.7.1; IFRS 7.9(d); Annex V.Part 2.199</t>
  </si>
  <si>
    <t>of which: gains and losses due to the reclassification of assets at amortised cost</t>
  </si>
  <si>
    <t>IFRS 9.5.6.2; annex V.Part 2.199</t>
  </si>
  <si>
    <t>IFRS 9.Appendix A, .BA.1, .BA.7(a)</t>
  </si>
  <si>
    <t>IFRS 9.BA.7(b)</t>
  </si>
  <si>
    <t>IFRS 9.Appendix A, .BA.6;IFRS 7.20(a)(i)</t>
  </si>
  <si>
    <t>Annex V. Part 2.197-198</t>
  </si>
  <si>
    <t>16.4 Gains or losses on financial assets and liabilities held for trading and trading financial assets and trading financial liabilities by risk</t>
  </si>
  <si>
    <t xml:space="preserve">Annex V.Part 2.200(a) </t>
  </si>
  <si>
    <t xml:space="preserve">Annex V.Part 2.200(b) </t>
  </si>
  <si>
    <t>Annex V.Part 2.200(c)</t>
  </si>
  <si>
    <t xml:space="preserve">Annex V.Part 2.200(d) </t>
  </si>
  <si>
    <t>Annex V.Part 2.200(e)</t>
  </si>
  <si>
    <t xml:space="preserve">Annex V.Part 2.200(f) </t>
  </si>
  <si>
    <t>16.4.1 Gains or losses on non-trading financial assets mandatorily at fair value through profit or loss by instrument</t>
  </si>
  <si>
    <t>Annex V.Part 2.201</t>
  </si>
  <si>
    <t>GAINS OR (-) LOSSES ON NON-TRADING FINANCIAL ASSETS MANDATORILY AT FAIR VALUE THROUGH PROFIT AND LOSS, NET</t>
  </si>
  <si>
    <t>IFRS 9.6.5.2; Annex V.Part 2.202</t>
  </si>
  <si>
    <t>071</t>
  </si>
  <si>
    <t>of which: gains or (-) losses upon designation of financial assets and liabilities designated at fair value through profit or loss for hedging purposes, net</t>
  </si>
  <si>
    <t>IFRS 9.6.7;IFRS 7.24G(b); Annex V.Part 2.204</t>
  </si>
  <si>
    <t>072</t>
  </si>
  <si>
    <t>of which: gains or (-) losses after designation on financial assets and liabilities designated at fair value through profit or loss for hedging purposes, net</t>
  </si>
  <si>
    <t>IFRS 9.6.7; IFRS 7.20(a)(i); Annex V.Part 2.204</t>
  </si>
  <si>
    <t>Annex V.Part 2.203</t>
  </si>
  <si>
    <t>IFRS 7.24A(c);IFRS 7.24C(b)(vi)</t>
  </si>
  <si>
    <t>IFRS 9.6.3.7; .6.5.8; .B6.4.1; IFRS 7.24B(a)(iv); IFRS 7.24C(b)(vi); Annex V.Part 2.206</t>
  </si>
  <si>
    <t>IFRS 7.24C(b)ii; IFRS 7.24C(b)(vi)</t>
  </si>
  <si>
    <t>IFRS 7.24C(b)(ii); IFRS 7.24C(b)(vi)</t>
  </si>
  <si>
    <t>Annex V.Part 2.205</t>
  </si>
  <si>
    <r>
      <t>16.7 Impairment on</t>
    </r>
    <r>
      <rPr>
        <b/>
        <sz val="8"/>
        <rFont val="Verdana"/>
        <family val="2"/>
      </rPr>
      <t xml:space="preserve"> non-financial assets</t>
    </r>
  </si>
  <si>
    <t>Additions</t>
  </si>
  <si>
    <t>Reversals</t>
  </si>
  <si>
    <t>Annex V.Part 2.208</t>
  </si>
  <si>
    <t>045</t>
  </si>
  <si>
    <t>046</t>
  </si>
  <si>
    <t>047</t>
  </si>
  <si>
    <t>048</t>
  </si>
  <si>
    <t>091</t>
  </si>
  <si>
    <t>092</t>
  </si>
  <si>
    <t>093</t>
  </si>
  <si>
    <t>094</t>
  </si>
  <si>
    <t>IFRS 7.8 (f);  IFRS 9.4.1.2</t>
  </si>
  <si>
    <t>IFRS 7.42D.(e), Annex V.Part 1.27</t>
  </si>
  <si>
    <t xml:space="preserve"> IFRS 7.42D(e); Annex V.Part 2.183-184</t>
  </si>
  <si>
    <t>IFRS 7.42D(e); Annex V.Part 2.183-184</t>
  </si>
  <si>
    <t>IFRS 7.42D(f); Annex V.Part 1.27, Part 2.181</t>
  </si>
  <si>
    <t>CRR art 109; Annex V.Part 2.182</t>
  </si>
  <si>
    <r>
      <t xml:space="preserve">Associated liabilities
</t>
    </r>
    <r>
      <rPr>
        <i/>
        <sz val="8"/>
        <rFont val="Verdana"/>
        <family val="2"/>
      </rPr>
      <t>ITS V.Part 2.181</t>
    </r>
  </si>
  <si>
    <t>056</t>
  </si>
  <si>
    <t>IFRS 9.4.1.4; IFRS 7.8(a)(ii)</t>
  </si>
  <si>
    <t>057</t>
  </si>
  <si>
    <t>058</t>
  </si>
  <si>
    <t>059</t>
  </si>
  <si>
    <t>IFRS 7.8 (h); IFRS 9.4.1.2A</t>
  </si>
  <si>
    <r>
      <t xml:space="preserve">IFRS 7.8 (e) (ii); </t>
    </r>
    <r>
      <rPr>
        <i/>
        <sz val="8"/>
        <rFont val="Verdana"/>
        <family val="2"/>
      </rPr>
      <t>IFRS 9.BA.6</t>
    </r>
  </si>
  <si>
    <t>IFRS 9.BA.7(a)</t>
  </si>
  <si>
    <r>
      <t xml:space="preserve">IFRS 7.8 (e) (i); </t>
    </r>
    <r>
      <rPr>
        <i/>
        <sz val="8"/>
        <rFont val="Verdana"/>
        <family val="2"/>
      </rPr>
      <t>IFRS 9.4.1.5</t>
    </r>
  </si>
  <si>
    <t>IAS 32.11,</t>
  </si>
  <si>
    <r>
      <t xml:space="preserve">Change in fair value for the period
</t>
    </r>
    <r>
      <rPr>
        <i/>
        <sz val="8"/>
        <rFont val="Verdana"/>
        <family val="2"/>
      </rPr>
      <t>Annex V.Part 2.178</t>
    </r>
  </si>
  <si>
    <r>
      <t xml:space="preserve">Accumulated change in fair value before taxes
</t>
    </r>
    <r>
      <rPr>
        <i/>
        <sz val="8"/>
        <rFont val="Verdana"/>
        <family val="2"/>
      </rPr>
      <t>Annex V.Part 2.179</t>
    </r>
  </si>
  <si>
    <r>
      <t xml:space="preserve">Fair value hierarchy
</t>
    </r>
    <r>
      <rPr>
        <i/>
        <sz val="8"/>
        <rFont val="Verdana"/>
        <family val="2"/>
      </rPr>
      <t>IFRS 13.93 (b)</t>
    </r>
  </si>
  <si>
    <t>13.1 Breakdown of collateral and guarantees by loans and advances other than held for trading</t>
  </si>
  <si>
    <t>Annex V.Part 2.88(b)</t>
  </si>
  <si>
    <r>
      <t xml:space="preserve">Maximum amount of the collateral or guarantee that can be considered
</t>
    </r>
    <r>
      <rPr>
        <i/>
        <sz val="8"/>
        <rFont val="Verdana"/>
        <family val="2"/>
      </rPr>
      <t>Annex V.Part 2.171-172, 174</t>
    </r>
  </si>
  <si>
    <t>Loans collateralized by immovable property</t>
  </si>
  <si>
    <t>Annex V.Part 2.173(a)</t>
  </si>
  <si>
    <t>Annex V.Part 2.173(b)</t>
  </si>
  <si>
    <t>Annex V.Part 2.173(c)</t>
  </si>
  <si>
    <t>Annex V.Part 2.175</t>
  </si>
  <si>
    <t>IFRS 7.38(a); Annex V.Part 2.176</t>
  </si>
  <si>
    <t>12. Movements in allowances and provisions for credit losses</t>
  </si>
  <si>
    <t xml:space="preserve">12.1 Movements in allowances and provisions for credit losses </t>
  </si>
  <si>
    <t>Increases due to origination and acquisition</t>
  </si>
  <si>
    <t xml:space="preserve"> IFRS 7.35I;  Annex V.Part 2.159, 164(b)</t>
  </si>
  <si>
    <t>Decreases due to derecognition</t>
  </si>
  <si>
    <t xml:space="preserve"> IFRS 7.35I; Annex V.Part 2.160, 164(b)</t>
  </si>
  <si>
    <t>Changes due to change in credit risk (net)</t>
  </si>
  <si>
    <t>Changes due to modifications without derecognition (net)</t>
  </si>
  <si>
    <t>Changes due to update in the institution's methodology for estimation (net)</t>
  </si>
  <si>
    <t>IFRS 7.35I; IFRS 7.35B(b);  Annex V.Part 2.161-162</t>
  </si>
  <si>
    <t xml:space="preserve">IFRS 7.35I; IFRS 7.35J; IFRS 9.5.5.12, B5.5.25, B5.5.27; Annex V.Part 2.164(c) </t>
  </si>
  <si>
    <t>IFRS 7.35I; IFRS 7.35B(b); Annex V.Part 2.163</t>
  </si>
  <si>
    <t>Decrease in allowance account due to write-offs</t>
  </si>
  <si>
    <t>Recoveries of previously written-off amounts recorded directly to the statement of profit or loss</t>
  </si>
  <si>
    <t>Amounts written-off  directly to the statement of profit or loss</t>
  </si>
  <si>
    <t>IFRS 7.35I; IFRS 9.5.4.4;IFRS 7.35L; Annex V.Part 2.72, 74, 164(a), 165</t>
  </si>
  <si>
    <t>IFRS 7.35I; IFRS 7.35B(b); Annex V.Part 2.166</t>
  </si>
  <si>
    <t>IFRS 9.5.4.4; Annex V.Part 2.165</t>
  </si>
  <si>
    <t>12.2 Transfers between impairment stages (gross basis presentation)</t>
  </si>
  <si>
    <t>Transfers between Stage 1 and Stage 2</t>
  </si>
  <si>
    <t>Transfers between Stage 2 and Stage 3</t>
  </si>
  <si>
    <t>Transfers between Stage 1 and Stage 3</t>
  </si>
  <si>
    <t>To Stage 2 from Stage 1</t>
  </si>
  <si>
    <t>To Stage 1 from Stage 2</t>
  </si>
  <si>
    <t>To Stage 3 from Stage 2</t>
  </si>
  <si>
    <t>To Stage 2 from Stage 3</t>
  </si>
  <si>
    <t>To Stage 3 from Stage 1</t>
  </si>
  <si>
    <t>To Stage 1 from Stage 3</t>
  </si>
  <si>
    <t>Annex V.Part 2.168-169</t>
  </si>
  <si>
    <t>Total debt instruments</t>
  </si>
  <si>
    <t>IFRS 9.2.1|(g); 2.3(c); 5.5.1, 5.5.3, 5.5.5</t>
  </si>
  <si>
    <r>
      <t>11.</t>
    </r>
    <r>
      <rPr>
        <b/>
        <u/>
        <sz val="8"/>
        <rFont val="Times New Roman"/>
        <family val="1"/>
      </rPr>
      <t> </t>
    </r>
    <r>
      <rPr>
        <b/>
        <u/>
        <sz val="8"/>
        <rFont val="Verdana"/>
        <family val="2"/>
      </rPr>
      <t xml:space="preserve">Hedge accounting </t>
    </r>
  </si>
  <si>
    <t>Annex V.Part 2.129(a)</t>
  </si>
  <si>
    <t>Annex V.Part 2.136</t>
  </si>
  <si>
    <t>Annex V.Part 2.129(b)</t>
  </si>
  <si>
    <t>Annex V.Part 2.129(c)</t>
  </si>
  <si>
    <t>Annex V.Part 2.129(d)</t>
  </si>
  <si>
    <t>Annex V.Part 2.129(e)</t>
  </si>
  <si>
    <t>Annex V.Part 2.129(f)</t>
  </si>
  <si>
    <t>IFRS 7.24A; IAS 39.86(a); IFRS 9.6.5.2(a)</t>
  </si>
  <si>
    <t>IFRS 7.24A; IAS 39.86(b); IFRS 9.6.5.2(b)</t>
  </si>
  <si>
    <t>IFRS 7.24A; IAS 39.86(c); IFRS 9.6.5.2(c)</t>
  </si>
  <si>
    <t>IAS 39.71, 81A, 89A, AG 114-132</t>
  </si>
  <si>
    <t>IAS 39.71</t>
  </si>
  <si>
    <t>IFRS 7.24A; IAS 39.9; IFRS 9.6.1</t>
  </si>
  <si>
    <t>Annex V.Part 1.42(c), 44(e), Part 2.141(a), 142</t>
  </si>
  <si>
    <t>Annex V.Part 1.42(d), 44(e), Part 2.141(b)</t>
  </si>
  <si>
    <t>Annex V.Part 1.44(e), Part 2.141(c)</t>
  </si>
  <si>
    <t>IFRS 7.24A; Annex V.Part 2.120, 131</t>
  </si>
  <si>
    <t>11.3 Non-derivative hedging instruments: Breakdown by accounting portfolio and type of hedge</t>
  </si>
  <si>
    <t>Fair value hedge</t>
  </si>
  <si>
    <t>Cash flow hedge</t>
  </si>
  <si>
    <t>Hedge of net investment in a foreign operation</t>
  </si>
  <si>
    <t>Annex V.Part 2.145</t>
  </si>
  <si>
    <t>Non-derivative financial assets</t>
  </si>
  <si>
    <t>of which: Financial assets held for trading</t>
  </si>
  <si>
    <t>of which: Non-trading financial assets mandatorily at fair value through profit or loss</t>
  </si>
  <si>
    <t>of which: Financial assets designated at fair value through profit or loss</t>
  </si>
  <si>
    <t>IFRS 9.4.1.5; IFRS 7.8(a)(i)</t>
  </si>
  <si>
    <t>Non-derivative financial liabilities</t>
  </si>
  <si>
    <t>IFRS 9.4.2.1; IFRS 9.6.2.2</t>
  </si>
  <si>
    <t>F11.4 Hedged items in fair value hedges</t>
  </si>
  <si>
    <t>Micro-hedges</t>
  </si>
  <si>
    <t>Micro-hedges - Net position hedge</t>
  </si>
  <si>
    <t>Hedge adjustments on 
micro-hedges</t>
  </si>
  <si>
    <t>Macro hedges</t>
  </si>
  <si>
    <t>Assets or liabilities included in hedge of a net position (before netting)</t>
  </si>
  <si>
    <t>Hedge adjustments included in the carrying amount of assets/liabilities</t>
  </si>
  <si>
    <t>Remaining adjustments for discontinued micro hedges including hedges of net positions</t>
  </si>
  <si>
    <t>Hedged items in portfolio hedge of interest rate risk</t>
  </si>
  <si>
    <t>IFRS 7.24B(a), Annex V.Part 2.146, 147</t>
  </si>
  <si>
    <t>IFRS 9.6.6.1;  IFRS 9.6.6.6; Annex V.Part 2.147, 151</t>
  </si>
  <si>
    <t>IFRS 7.24B(a)(ii); Annex V.Part 2.148, 149</t>
  </si>
  <si>
    <t>IFRS 7.24B(a)(v); Annex V.Part 2.148, 150</t>
  </si>
  <si>
    <t>IFRS 9.6.1.3; IFRS 9.6.6.1; Annex V.Part 2.152</t>
  </si>
  <si>
    <t>Financial assets measured at fair value through other comprehensive income</t>
  </si>
  <si>
    <t>IFRS 9.4.1.2A; IFRS 7.8(h); Annex V. Part 2.146, 151</t>
  </si>
  <si>
    <t>Financial assets measured at amortised cost</t>
  </si>
  <si>
    <t>IFRS 9.4.1.2A; IFRS 7.8(f); Annex V. Part 2.146, 151</t>
  </si>
  <si>
    <t>Financial liabilities measured at amortised costs</t>
  </si>
  <si>
    <t>IFRS 9.4.2.1; IFRS 7.8(g); Annex V. Part 2.146, 151</t>
  </si>
  <si>
    <r>
      <t>10.</t>
    </r>
    <r>
      <rPr>
        <b/>
        <u/>
        <sz val="7"/>
        <rFont val="Times New Roman"/>
        <family val="1"/>
      </rPr>
      <t> </t>
    </r>
    <r>
      <rPr>
        <b/>
        <u/>
        <sz val="8"/>
        <rFont val="Verdana"/>
        <family val="2"/>
      </rPr>
      <t>Derivatives - Trading and economic hedges</t>
    </r>
  </si>
  <si>
    <t>Financial assets Held for trading and trading</t>
  </si>
  <si>
    <t>Financial liabilities Held for trading and trading</t>
  </si>
  <si>
    <t>Annex V.Part 2.120, 131</t>
  </si>
  <si>
    <t xml:space="preserve">IFRS 9.BA.7 (a); Annex V.Part 2.120, 131 </t>
  </si>
  <si>
    <t>of which: economic hedges with use of the fair value option</t>
  </si>
  <si>
    <t>IFRS 9.6.7.1; Annex V.Part 2.140</t>
  </si>
  <si>
    <t>of which: other economic hedges</t>
  </si>
  <si>
    <t>Annex V.Part 2.137-140</t>
  </si>
  <si>
    <t>Annex V.Part 2.137-139</t>
  </si>
  <si>
    <t>9.1.1 Off-balance sheet exposures : Loan commitments, financial guarantees and other commitments given</t>
  </si>
  <si>
    <t>IFRS 9.2.1(g), .BCZ2.2;  Annex V.Part 1.44(h), Part 2.102-103, 113</t>
  </si>
  <si>
    <t>IFRS 9.2.1(e ), .B2.5, .BC2.17, IFRS 8.Appendix A; IFRS 4 Annex A;  Annex V.Part 1.44(h), Part 2.102-103, 114</t>
  </si>
  <si>
    <t>Annex V.Part 1.44(h), Part 2.102-103, 115</t>
  </si>
  <si>
    <t>IFRS 7.36 (b); Annex V.Part 2.119</t>
  </si>
  <si>
    <t>Annex V.Part 2.119</t>
  </si>
  <si>
    <r>
      <t xml:space="preserve">Nominal amount of off-balance sheet commitments and financial guarantees under IFRS 9 impairment
</t>
    </r>
    <r>
      <rPr>
        <i/>
        <sz val="8"/>
        <rFont val="Verdana"/>
        <family val="2"/>
      </rPr>
      <t>Annex V.Part 2.107-108, 118</t>
    </r>
  </si>
  <si>
    <r>
      <t xml:space="preserve">Provisions on off-balance sheet commitments and financial guarantees under IFRS 9 impairment
</t>
    </r>
    <r>
      <rPr>
        <i/>
        <sz val="8"/>
        <rFont val="Verdana"/>
        <family val="2"/>
      </rPr>
      <t>Annex V Part 2.106-109</t>
    </r>
  </si>
  <si>
    <t>Other commitments measured under IAS 37 and financial guarantees measured under IFRS 4</t>
  </si>
  <si>
    <t>Commitments and financial guarantees measured at fair value</t>
  </si>
  <si>
    <t>Instruments without significant increase in credit risk since initial recognition (Stage 1)</t>
  </si>
  <si>
    <t>Instruments with significant increase in credit risk since initial recognition but not credit-impaired
(Stage 2)</t>
  </si>
  <si>
    <t>Credit-impaired instruments 
(Stage 3)</t>
  </si>
  <si>
    <t>Provision</t>
  </si>
  <si>
    <t>Accumulated negative changes in fair value due to credit risk on non-performing commitments</t>
  </si>
  <si>
    <t>IFRS 9.2.1(e),(g), IFRS 9.4.2.(c), IFRS 9.5.5, IFRS 9.B2.5; IFRS 7.35M</t>
  </si>
  <si>
    <t>IFRS 9.2.1(e),(g), IFRS 9.4.2.(c), IFRS 9.5.5, IFRS9.B2.5; IFRS 7.35M</t>
  </si>
  <si>
    <t>IFRS 9.2.1(e),(g), IFRS 9.4.2.(c), IFRS9.5.5, IFRS 9.B2.5; IFRS 7.35H(a)</t>
  </si>
  <si>
    <t>IFRS 9.2.1(e),(g), IFRS 9.4.2.(c),IFRS9.5.5, IFRS 9.B2.5; IFRS 7.35H(b)(i)</t>
  </si>
  <si>
    <t>IFRS 9.2.1(e),(g), IFRS 9.4.2.(c),IFRS9.5.5, IFRS 9.B2.5; IFRS 7.35H(b)(ii)</t>
  </si>
  <si>
    <t>IAS 37, IFRS 9.2.1(e), IFRS 9.B2.5; IFRS 4; Annex V.Part 2.111, 118</t>
  </si>
  <si>
    <t>IAS 37, IFRS 9.2.1(e), IFRS 9.B2.5; IFRS 4; Annex V.Part 2.106, 111</t>
  </si>
  <si>
    <t>IFRS 9.2.3(a), 9.B2.5;
Annex V Part 2.110, 118</t>
  </si>
  <si>
    <t>Annex V Part 2.69</t>
  </si>
  <si>
    <t>IFRS 7.8(e)(i); IFRS 9.4.2.2, IFRS 9.4.3.5</t>
  </si>
  <si>
    <t>Annex V.Part 2.99-100</t>
  </si>
  <si>
    <t>IFRS 7.8(e)(ii); IFRS 9 Appendix A, IFRS 9.BA.6-BA.7, IFRS 9.6.7</t>
  </si>
  <si>
    <t>IFRS 7.24A(a); IFRS 9.6</t>
  </si>
  <si>
    <t>CRR art 33(1)(b), art 33(1)(c); Annex V.Part 2.101</t>
  </si>
  <si>
    <t>FRS 9.BA.7(b)</t>
  </si>
  <si>
    <t xml:space="preserve">Annex V.Part 1.42(a), 44(c) </t>
  </si>
  <si>
    <t>ECB/2013/33 Annex 2.Part 2.9.3; Annex V.Part 2.97</t>
  </si>
  <si>
    <t xml:space="preserve">Annex V.Part 1.42(b), 44(c) </t>
  </si>
  <si>
    <t xml:space="preserve">Annex V.Part 1.42(c),44(c)  </t>
  </si>
  <si>
    <t xml:space="preserve">Annex V.Part 1.42(d),44(c)  </t>
  </si>
  <si>
    <t xml:space="preserve">Annex V.Part 1.42(e), 44(c)    </t>
  </si>
  <si>
    <t xml:space="preserve">Annex V.Part 1.42(f), 44(c)  </t>
  </si>
  <si>
    <t>Annex V.Part 1.37, Part 2.98</t>
  </si>
  <si>
    <t>Annex V.Part 2.98(a)</t>
  </si>
  <si>
    <t>CRR art 129</t>
  </si>
  <si>
    <t>Annex V.Part 2.98(d)</t>
  </si>
  <si>
    <t>Annex V.Part 2.98(e)</t>
  </si>
  <si>
    <t>7. Financial assets subject to impairment that are past due</t>
  </si>
  <si>
    <t xml:space="preserve">7.1 Financial assets subject to impairment that are past due </t>
  </si>
  <si>
    <t>TOTAL DEBT INSTRUMENTS</t>
  </si>
  <si>
    <t>Annex V Part 2.94-95</t>
  </si>
  <si>
    <t>Annex V.Part 2.85(a)</t>
  </si>
  <si>
    <t>Annex V.Part 2.85(b)</t>
  </si>
  <si>
    <t>Annex V.Part 2.85(c)</t>
  </si>
  <si>
    <t>Annex V.Part 2.85(d)</t>
  </si>
  <si>
    <t>Annex V.Part 2.85(e)</t>
  </si>
  <si>
    <t>Annex V.Part 2.85(f)</t>
  </si>
  <si>
    <t>Annex V.Part 2.85(g)</t>
  </si>
  <si>
    <t>of which: Loans collateralized by immovable property</t>
  </si>
  <si>
    <t>Annex V.Part 2.86(b), 87</t>
  </si>
  <si>
    <t>Annex V.Part 2.89; CRR Art 147(8)</t>
  </si>
  <si>
    <t>Assets without significant increase in credit risk since initial recognition (Stage 1)</t>
  </si>
  <si>
    <t>Assets with significant increase in credit risk since initial recognition but not credit-impaired (Stage 2)</t>
  </si>
  <si>
    <t>Credit-impaired assets (Stage 3)</t>
  </si>
  <si>
    <t>&gt; 30 days ≤ 90 days</t>
  </si>
  <si>
    <t>&gt; 90 days</t>
  </si>
  <si>
    <t>IFRS 9.5.5.11;B5.5.37; IFRS 7.B8I, Annex V.Part 2.96</t>
  </si>
  <si>
    <t>6. Breakdown of non-trading loans and advances  to non-financial corporations by NACE codes</t>
  </si>
  <si>
    <t>6.1 Breakdown of loans and advances other than held for trading to non-financial corporations by NACE codes</t>
  </si>
  <si>
    <t>NACE Regulation, Annex V.Part 2.92</t>
  </si>
  <si>
    <t>Annex V.Part 1.32, Part 2.90</t>
  </si>
  <si>
    <t xml:space="preserve">Gross carrying amount
</t>
  </si>
  <si>
    <r>
      <t>Accumulated negative</t>
    </r>
    <r>
      <rPr>
        <b/>
        <i/>
        <sz val="8"/>
        <rFont val="Verdana"/>
        <family val="2"/>
      </rPr>
      <t xml:space="preserve"> </t>
    </r>
    <r>
      <rPr>
        <b/>
        <sz val="8"/>
        <rFont val="Verdana"/>
        <family val="2"/>
      </rPr>
      <t>changes in fair value due to credit risk on non-performing exposures</t>
    </r>
  </si>
  <si>
    <t>Annex V.Part 1.34</t>
  </si>
  <si>
    <t>Annex V.Part 2.93</t>
  </si>
  <si>
    <t>Annex V.Part 2. 213-232</t>
  </si>
  <si>
    <r>
      <t xml:space="preserve">Non-financial corporations 
</t>
    </r>
    <r>
      <rPr>
        <i/>
        <sz val="8"/>
        <rFont val="Verdana"/>
        <family val="2"/>
      </rPr>
      <t xml:space="preserve">Annex V.Part 1.42(e), Part 2.91 </t>
    </r>
  </si>
  <si>
    <t>5. Breakdown of non-trading Loans and advances by product</t>
  </si>
  <si>
    <t>5.1 Loans and advances other than held for trading and trading assets by product</t>
  </si>
  <si>
    <r>
      <t xml:space="preserve">of which: </t>
    </r>
    <r>
      <rPr>
        <sz val="8"/>
        <rFont val="Verdana"/>
        <family val="2"/>
      </rPr>
      <t>Loans collateralized by immovable property</t>
    </r>
  </si>
  <si>
    <t>005</t>
  </si>
  <si>
    <t>FINANCIAL ASSETS HELD FOR TRADING</t>
  </si>
  <si>
    <t>IAS 32.11, Annex V.Part 1.44(b)</t>
  </si>
  <si>
    <t>4.2.1 Non-trading financial assets mandatorily at fair value through profit or loss</t>
  </si>
  <si>
    <t>4.2.2 Financial assets designated at fair value through profit or loss</t>
  </si>
  <si>
    <t>Accumulated negative changes in fair value due to credit risk  on non-performing exposures</t>
  </si>
  <si>
    <t>NON-TRADING FINANCIAL ASSETS MANDATORILY AT FAIR VALUE THROUGH PROFIT OR LOSS</t>
  </si>
  <si>
    <t>4.3.1 Financial assets at fair value through other comprehensive income</t>
  </si>
  <si>
    <r>
      <t xml:space="preserve">Gross carrying amount
</t>
    </r>
    <r>
      <rPr>
        <i/>
        <sz val="8"/>
        <rFont val="Verdana"/>
        <family val="2"/>
      </rPr>
      <t>Annex V.Part 1.34(b)</t>
    </r>
  </si>
  <si>
    <r>
      <t xml:space="preserve">Accumulated impairment
</t>
    </r>
    <r>
      <rPr>
        <i/>
        <sz val="8"/>
        <rFont val="Verdana"/>
        <family val="2"/>
      </rPr>
      <t>Annex V.Part 2.70(b), 71</t>
    </r>
  </si>
  <si>
    <t>Accumulated partial write-offs</t>
  </si>
  <si>
    <t>Accumulated total write-offs</t>
  </si>
  <si>
    <t>of which: instruments with low credit risk</t>
  </si>
  <si>
    <t>IFRS 9.5.5.5; IFRS 7.35M(a)</t>
  </si>
  <si>
    <t>IFRS 9.B5.5.22-24; Annex V.Part 2.75</t>
  </si>
  <si>
    <t>IFRS 9.5.5.3, IFRS 7.35M(b)(i)</t>
  </si>
  <si>
    <t>IFRS 9.5.5.1, 7.35M(b)(ii)</t>
  </si>
  <si>
    <t>IFRS 9.5.5.5; IFRS7.35H(a), IFRS 7.16A</t>
  </si>
  <si>
    <t>IFRS 9.5.5.3; IFRS 9.5.5.15;  IFRS 7.35H(b)(i), IFRS 7.16A</t>
  </si>
  <si>
    <t>IFRS 9.5.5.1; IFRS 9.5.5.15; IFRS 7.35H(b)(ii), IFRS 7.16A</t>
  </si>
  <si>
    <t>IFRS 9.5.4.4 and B5.4.9 ; Annex V.Part 2.72-74</t>
  </si>
  <si>
    <t>IFRS 9.5.4.4 and B5.4.9; Annex V.Part 2.72-74</t>
  </si>
  <si>
    <t>IAS 32.11; Annex V.Part 1.44(b)</t>
  </si>
  <si>
    <t>FINANCIAL ASSETS AT FAIR VALUE THROUGH OTHER COMPREHENSIVE INCOME</t>
  </si>
  <si>
    <t>of which: purchased credit-impaired financial assets</t>
  </si>
  <si>
    <t>IFRS 9.5.5.13; IFRS 7.35M(c); Annex V.Part 2.77</t>
  </si>
  <si>
    <t>4.4.1 Financial assets at amortised cost</t>
  </si>
  <si>
    <r>
      <t xml:space="preserve">Accumulated impairment
</t>
    </r>
    <r>
      <rPr>
        <i/>
        <sz val="8"/>
        <rFont val="Verdana"/>
        <family val="2"/>
      </rPr>
      <t>Annex V.Part 2.70(a), 71</t>
    </r>
  </si>
  <si>
    <t>IFRS 9.5.5.5; IFRS7.35H(a)</t>
  </si>
  <si>
    <t>IFRS 9.5.5.3; IFRS 9.5.5.15;  IFRS 7.35H(b)(i)</t>
  </si>
  <si>
    <t>IFRS 5.5.1; IFRS 9.5.5.15; IFRS 7.35H(b)(ii)</t>
  </si>
  <si>
    <t>FINANCIAL ASSETS AT AMORTISED COST</t>
  </si>
  <si>
    <t>IFRS 9.5.13 and IFRS 7.35M(c); Annex V.Part 2.77</t>
  </si>
  <si>
    <t>Annex V.Part 2.78, 100</t>
  </si>
  <si>
    <t>081</t>
  </si>
  <si>
    <t xml:space="preserve">Fair value changes of equity instruments measured at fair value through other comprehensive income </t>
  </si>
  <si>
    <t>IAS 1.7(d)</t>
  </si>
  <si>
    <t xml:space="preserve">Gains or (-) losses from hedge accounting of equity instruments at fair value through other comprehensive income, net </t>
  </si>
  <si>
    <t>IFRS 9.5.7.5;.6.5.3; IFRS 7.24C; Annex V.Part 2.57</t>
  </si>
  <si>
    <t>084</t>
  </si>
  <si>
    <t>Fair value changes of equity instruments measured at fair value through other comprehensive income [hedged item]</t>
  </si>
  <si>
    <t>Fair value changes of equity instruments measured at fair value through other comprehensive income [hedging instrument]</t>
  </si>
  <si>
    <t>IFRS 9.5.7.5;.6.5.8(a); Annex V.Part 2.57</t>
  </si>
  <si>
    <t>086</t>
  </si>
  <si>
    <t>Fair value changes of financial liabilities at fair value through profit or loss attributable to changes in their credit risk</t>
  </si>
  <si>
    <t>IAS 1.7(f)</t>
  </si>
  <si>
    <t>IFRS 9.5.7.5;.6.5.8(b); Annex V.Part 2.57</t>
  </si>
  <si>
    <t>Hedging instruments [not designated elements]</t>
  </si>
  <si>
    <t>IAS 1.7(g)(h);IFRS 9.6.5.15,.6.5.16;IFRS 7.24E(b)(c); Annex V.Part 2.60</t>
  </si>
  <si>
    <t>Annex V.Part 2.65</t>
  </si>
  <si>
    <t>IAS 1.7(g)(h);IFRS 9.6.5.15,.6.5.16;IFRS 7.24E (b)(c)</t>
  </si>
  <si>
    <t>IAS 1.7(g)(h);IFRS 9.6.5.15,.6.5.16;IFRS 7.24E(b)(c); Annex V.Part 2.61</t>
  </si>
  <si>
    <t>Debt instruments at fair value through other comprehensive income</t>
  </si>
  <si>
    <t>IFRS 7.20(a)(ii); IAS 1.IG6; IFRS 9.5.6.4</t>
  </si>
  <si>
    <t>IAS 1.7, IAS 1.92-95, IAS 1.IG6; IFRS 9.5.6.7; Annex V.Part 2.64</t>
  </si>
  <si>
    <t>IAS 1.7(da), IG 6;  IAS 1.IG6; IFRS 9.5.6.4; Annex V.Part 2.62-63</t>
  </si>
  <si>
    <t>IAS 1.7, IG6</t>
  </si>
  <si>
    <t>IAS 1.82A(a)(i)</t>
  </si>
  <si>
    <t>IAS 1.7, IG6; IAS 19.120(c)</t>
  </si>
  <si>
    <t>IAS 1.IG6; IAS 28.10</t>
  </si>
  <si>
    <t>IAS 1.91(b); Annex V.Part 2.66</t>
  </si>
  <si>
    <t>IAS 1.82A(a)(ii)</t>
  </si>
  <si>
    <t>IFRS 9.6.5.13(a); IFRS 7.24C(b)(i)(iv),.24E(a); Annex V.Part 2.58</t>
  </si>
  <si>
    <t>IAS 1.IG6;IFRS 9.6.5.13(a); IFRS 7.24C(b)(i);.24E(a); Annex V.Part 2.58</t>
  </si>
  <si>
    <t>IAS 1.7,  92-95; IAS 21.48-49; IFRS 9.6.5.14; Annex V.Part 2.59</t>
  </si>
  <si>
    <t>IAS 1.7, IG6; IAS 39.95(a)-96 IFRS 9.6.5.11(b); IFRS 7.24C(b)(i);.24E(a);</t>
  </si>
  <si>
    <t>IAS 1.7(e),IG6; IFRS 9.6.5.11(a)(b)(d); IFRS 7.24C(b)(i), .24E(a)</t>
  </si>
  <si>
    <t>IAS 1.7, 92-95, IG6; IFRS 9.6.5.11(d)(ii)(iii);IFRS 7.24C(b)(iv),.24E(a) Annex V.Part 2.59</t>
  </si>
  <si>
    <t>IAS 1.IG6;IFRS 9.6.5.11(d)(i)</t>
  </si>
  <si>
    <r>
      <t>IAS 1.IG6; IAS 28.</t>
    </r>
    <r>
      <rPr>
        <i/>
        <sz val="8"/>
        <rFont val="Verdana"/>
        <family val="2"/>
      </rPr>
      <t>10</t>
    </r>
  </si>
  <si>
    <t>IAS 1.91(b), IG6; Annex V.Part 2.66</t>
  </si>
  <si>
    <t>IFRS 7.20(a)(i), B5(e), IFRS 9.5.7.1</t>
  </si>
  <si>
    <t>041</t>
  </si>
  <si>
    <t>IFRS 7.20(b); IFRS 9.5.7.10-11; IFRS 9.4.1.2A</t>
  </si>
  <si>
    <t>051</t>
  </si>
  <si>
    <t>IFRS 7.20(b);IFRS 9.4.1.2; IFRS 9.5.7.2</t>
  </si>
  <si>
    <t>IFRS 7.20(a)(i), B5(e); Annex V.Part 2.33, 34</t>
  </si>
  <si>
    <t>IFRS 7.20(b); IFRS 9.5.7.2</t>
  </si>
  <si>
    <t>IAS 39.9; Annex V.Part 2.35</t>
  </si>
  <si>
    <t>Annex V.Part 2.38</t>
  </si>
  <si>
    <t>IFRS 9.5.7.1, Annex V.Part 2.39</t>
  </si>
  <si>
    <t xml:space="preserve">(Financial liabilities designated at fair value through profit or loss) </t>
  </si>
  <si>
    <t>IFRS 7.20(a)(i), B5(e),IFRS 9.5.7.1A; Annex V.Part 2.40</t>
  </si>
  <si>
    <t>IFRS 7.20(a)(ii); IFRS 9.4.1.2A; IFRS 9.5.7.1A; Annex V.Part 2.41</t>
  </si>
  <si>
    <t>Investments in subsidiaries, joint ventures and associates accounted for using other than equity method</t>
  </si>
  <si>
    <t>Annex V Part 2 .42</t>
  </si>
  <si>
    <t>IFRS 9.4.12A; IFRS 9.5.7.10-11</t>
  </si>
  <si>
    <t>IFRS 7.20(a)(v);IFRS 9.4.1.2; IFRS 9.5.7.2</t>
  </si>
  <si>
    <t>Gains or (-) losses on non-trading financial assets mandatorily at fair value through profit or loss, net</t>
  </si>
  <si>
    <t>IFRS 7.20(a)(i); IFRS 9.5.7.1; Annex V.Part 2.46</t>
  </si>
  <si>
    <t>IFRS 7.35J</t>
  </si>
  <si>
    <t>IFRS 7.20(a)(viii); IFRS 9.5.4.4; Annex V Part 2.51, 53</t>
  </si>
  <si>
    <t>(Financial assets at fair value through other comprehensive income)</t>
  </si>
  <si>
    <t>IFRS 9.5.4.4, 9.5.5.1, 9.5.5.2, 9.5.5.8</t>
  </si>
  <si>
    <t>(Financial assets at amortised cost)</t>
  </si>
  <si>
    <t>IFRS 9.5.4.4, 9.5.5.1, 9.5.5.8</t>
  </si>
  <si>
    <t>(Impairment or (-) reversal of impairment of investments in subsidiaries, joint ventures and associates)</t>
  </si>
  <si>
    <t>Share of the profit or (-) loss of investments in subsidaries, joint ventures and associates accounted for using the equity method</t>
  </si>
  <si>
    <t>IAS 1.81B (b)(i)</t>
  </si>
  <si>
    <t>IFRS 7.20(a)(i), B5(e); Annex V.Part 2.40</t>
  </si>
  <si>
    <t>IFRS 7.20(a)(v); IFRS 9.5.7.2</t>
  </si>
  <si>
    <t>Annex V.Part 2.47</t>
  </si>
  <si>
    <t>IAS 1.34; Annex V. Part 2.48</t>
  </si>
  <si>
    <t>9
12
43</t>
  </si>
  <si>
    <t>IFRS 9.4.2.1(c),(d),9.B2.5;  IAS 37, IFRS 4, Annex V.Part 2.50</t>
  </si>
  <si>
    <t>Fair value changes of equity instruments measured at fair value through other comprehensive income</t>
  </si>
  <si>
    <t>IAS 1.7(d); IFRS 9 5.7.5, B5.7.1; Annex V.Part 2.21</t>
  </si>
  <si>
    <t>Hedge ineffectiveness of fair value hedges for equity instruments measured at fair value through other comprehensive income</t>
  </si>
  <si>
    <t>IAS 1.7(e);IFRS 9.5.7.5;.6.5.3; IFRS 7.24C; Annex V.Part 2.22</t>
  </si>
  <si>
    <t>IFRS 9.5.7.5;.6.5.8(b); Annex V.Part 2.22</t>
  </si>
  <si>
    <t xml:space="preserve">Fair value changes of financial liabilities at fair value through profit or loss attributable to changes in their credit risk </t>
  </si>
  <si>
    <t>IAS 1.7(e);IFRS 9.5.7.5;.6.5.8(a);Annex V.Part 2.57</t>
  </si>
  <si>
    <t>IAS 1.7(f); IFRS 9 5.7.7;Annex V.Part 2.23</t>
  </si>
  <si>
    <t>Fair value changes of debt instruments measured at fair value through other comprehensive income</t>
  </si>
  <si>
    <t>IAS 1.7(da); IFRS 9.4.1.2A; 5.7.10; Annex V.Part 2.26</t>
  </si>
  <si>
    <t xml:space="preserve">Hedging instruments [not designated elements] </t>
  </si>
  <si>
    <t>IAS 1.7(g)(h);IFRS 9.6.5.15,.6.5.16;IFRS 7.24 E (b)(c); Annex V.Part 2.60</t>
  </si>
  <si>
    <t>Annex V.Part 2.14</t>
  </si>
  <si>
    <t>IAS 32.28-29; Annex V.Part 2.18</t>
  </si>
  <si>
    <t>IAS 1.82A(a) (ii)</t>
  </si>
  <si>
    <t>IFRS9.6.5.13(a); IFRS7.24B(b)(ii)(iii); IFRS 7.24C(b)(i)(iv),.24E(a); Annex V.Part 2.24</t>
  </si>
  <si>
    <t>IAS 1.7 (e); IFRS 7.24B(b)(ii)(iii); IFRS 7.24C(b)(i);.24E; IFRS 9.6.5.11(b); Annex V.Part 2.25</t>
  </si>
  <si>
    <t>IFRS 1.30, D5-D8;  Annex V.Part 2.28</t>
  </si>
  <si>
    <t>IAS 28.11; Annex V.Part 2.29</t>
  </si>
  <si>
    <t>Annex V.Part 2.29</t>
  </si>
  <si>
    <t>IAS 1.79(a)(vi); IAS 32.33-34, AG 14, AG 36;  Annex V.Part 2.30</t>
  </si>
  <si>
    <t>IAS 1.54(q)</t>
  </si>
  <si>
    <t>IFRS 9.4.2.1(c),(d), 9.5.5, 9.B2.5; IAS 37, IFRS 4, Annex V.Part 2.11</t>
  </si>
  <si>
    <r>
      <t xml:space="preserve">Replaces </t>
    </r>
    <r>
      <rPr>
        <b/>
        <u/>
        <sz val="8"/>
        <color indexed="8"/>
        <rFont val="Verdana"/>
        <family val="2"/>
      </rPr>
      <t>ANNEX III</t>
    </r>
    <r>
      <rPr>
        <b/>
        <sz val="8"/>
        <color indexed="8"/>
        <rFont val="Verdana"/>
        <family val="2"/>
      </rPr>
      <t xml:space="preserve"> - REPORTING FINANCIAL INFORMATION ACCORDING TO IFRS</t>
    </r>
  </si>
  <si>
    <t>Gains or losses on derecognition of non-financial assets other than held for sale and investments in subsidiaries, joint ventures and associates</t>
  </si>
  <si>
    <t xml:space="preserve">Geographical breakdown by residence of the counterparty of loans and advances other than held for trading to non-financial corporations by NACE codes </t>
  </si>
  <si>
    <t>F 20.07.1</t>
  </si>
  <si>
    <t>20.7.1</t>
  </si>
  <si>
    <t>F 40.1</t>
  </si>
  <si>
    <t xml:space="preserve">cells with only positive values : green colour </t>
  </si>
  <si>
    <t xml:space="preserve">cells with only negative values : pink colour </t>
  </si>
  <si>
    <t>cells with either positive or negative values : purple colour</t>
  </si>
  <si>
    <t>cells with derived values : orange  colour</t>
  </si>
  <si>
    <t>cells with date format only : light yellow colour</t>
  </si>
  <si>
    <t>Allowances for financial assets without increase in credit risk since initial recognition (Stage 1)</t>
  </si>
  <si>
    <t>IFRS 9.5.5.5</t>
  </si>
  <si>
    <t>of which: collectively measured allowances</t>
  </si>
  <si>
    <t>IFRS 9.B5.5.1 - B5.5.6; Annex V.Part 2.158</t>
  </si>
  <si>
    <t>of which: individually measured allowances</t>
  </si>
  <si>
    <t>Allowances for debt instruments with significant increase in credit risk since initial recognition but not credit-impaired (Stage 2)</t>
  </si>
  <si>
    <t>IFRS 9.5.5.3</t>
  </si>
  <si>
    <t>Annex V.Part 2.213-232</t>
  </si>
  <si>
    <t>Allowances for credit-impaired debt instruments (Stage 3)</t>
  </si>
  <si>
    <t>IFRS 9.5.5.1, 9. Appendix A</t>
  </si>
  <si>
    <t>Total allowance for debt instruments</t>
  </si>
  <si>
    <t>IFRS 7.B8E</t>
  </si>
  <si>
    <t>Commitments and financial guarantees given (Stage 1)</t>
  </si>
  <si>
    <t>IFRS 9.2.1|(g); 2.3(c); 5.5, B2.5; Annex V.Part 2.157</t>
  </si>
  <si>
    <t>Commitments and financial guarantees given (Stage 2)</t>
  </si>
  <si>
    <t>IFRS 9.2.1|(g); 2.3(c); 5.5.3, B2.5; Annex V.Part 2.157</t>
  </si>
  <si>
    <t>Commitments and financial guarantees given (Stage 3)</t>
  </si>
  <si>
    <t>IFRS 9.2.1|(g); 2.3(c); 5.5.1, B2.5; Annex V.Part 2.157</t>
  </si>
  <si>
    <r>
      <t xml:space="preserve">Total </t>
    </r>
    <r>
      <rPr>
        <b/>
        <sz val="8"/>
        <rFont val="Verdana"/>
        <family val="2"/>
      </rPr>
      <t>provisions on commitments and financial guarantees given</t>
    </r>
  </si>
  <si>
    <t>IFRS 7.B8E; Annex V.Part 2.157</t>
  </si>
  <si>
    <t>4.2.1</t>
  </si>
  <si>
    <t>F 04.02.1</t>
  </si>
  <si>
    <t>Breakdown of financial assets by instrument and by counterparty sector: non-trading financial assets mandatorily at fair value through profit or loss</t>
  </si>
  <si>
    <t>4.2.2</t>
  </si>
  <si>
    <t>F 04.02.2</t>
  </si>
  <si>
    <t>4.3.1</t>
  </si>
  <si>
    <t>F 04.03.1</t>
  </si>
  <si>
    <t>Breakdown of financial assets by instrument and by counterparty sector: financial assets at fair value through other comprehensive income</t>
  </si>
  <si>
    <t>4.4.1</t>
  </si>
  <si>
    <t>F 04.04.1</t>
  </si>
  <si>
    <t>Breakdown of financial assets by instrument and by counterparty sector: financial assets at amortised cost</t>
  </si>
  <si>
    <t>F 05.01</t>
  </si>
  <si>
    <t>Breakdown of non-trading Loans and advances by product</t>
  </si>
  <si>
    <t>F 06.01</t>
  </si>
  <si>
    <t>Breakdown of loans and advances other than held for trading to non-financial corporations by NACE codes</t>
  </si>
  <si>
    <t>Financial assets subject to impairment that are past due</t>
  </si>
  <si>
    <t>F 07.01</t>
  </si>
  <si>
    <t xml:space="preserve">Financial assets subject to impairment that are past due </t>
  </si>
  <si>
    <t>9.1.1</t>
  </si>
  <si>
    <t>Off-balance sheet exposures : loan commitments, financial guarantees and other commitments given</t>
  </si>
  <si>
    <t>Derivatives - Trading and economic hedges</t>
  </si>
  <si>
    <t>F 11.03</t>
  </si>
  <si>
    <t>Non-derivative hedging instruments: Breakdown by accounting portfolio and type of hedge</t>
  </si>
  <si>
    <t>F 11.04</t>
  </si>
  <si>
    <t>Hedged items in fair value hedges</t>
  </si>
  <si>
    <t>Movements in allowances and provisions for credit losses</t>
  </si>
  <si>
    <t>F 12.01</t>
  </si>
  <si>
    <t>F 12.02</t>
  </si>
  <si>
    <t>Transfers between impairment stages (gross basis presentation)</t>
  </si>
  <si>
    <t>Breakdown of collateral and guarantees by loans and advances other than held for trading</t>
  </si>
  <si>
    <t>Gains or losses on financial assets and liabilities held for trading and trading financial assets and trading financial liabilities by instrument</t>
  </si>
  <si>
    <t>Gains or losses on financial assets and liabilities held for trading and trading financial assets and trading financial liabilities by risk</t>
  </si>
  <si>
    <t>16.4.1</t>
  </si>
  <si>
    <t>F 16.04.1</t>
  </si>
  <si>
    <t>Gains or losses on non-trading financial assets mandatorily at fair value through profit or loss by instrument</t>
  </si>
  <si>
    <t>Impairment on non-financial assets</t>
  </si>
  <si>
    <t>F-05.01</t>
  </si>
  <si>
    <t>F-06.01</t>
  </si>
  <si>
    <t>F-07.01</t>
  </si>
  <si>
    <t>x1</t>
  </si>
  <si>
    <t>All countries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</si>
  <si>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</si>
  <si>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</si>
  <si>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</si>
  <si>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 xml:space="preserve">Other than Full consolidation, Proportional consolidation, Equity method </t>
  </si>
  <si>
    <t xml:space="preserve">Equity method </t>
  </si>
  <si>
    <t xml:space="preserve">Proportional consolidation </t>
  </si>
  <si>
    <t xml:space="preserve">Full consolidation </t>
  </si>
  <si>
    <t>Conventions and Instructions:</t>
  </si>
  <si>
    <t>cells with no figure : greyed out or criss crossed</t>
  </si>
  <si>
    <t>Numeric values (monetary amounts) should be expressed in euro thousand (€000)</t>
  </si>
  <si>
    <t>Annex V.Part 2.306-307</t>
  </si>
  <si>
    <t>Annex V.Part 2.306, 309</t>
  </si>
  <si>
    <t>IAS 19.63; Annex V.Part 2.308</t>
  </si>
  <si>
    <t>IAS 19.63, IAS 1.78(d); Annex V.Part 2.9</t>
  </si>
  <si>
    <t>IAS 19.141(e)</t>
  </si>
  <si>
    <t>IAS 19.140(a)(ii); Annex V.Part 2.310</t>
  </si>
  <si>
    <t>Annex V.Part 2.311(a)</t>
  </si>
  <si>
    <t>IFRS 2.44; Annex V.Part 2.311(b)</t>
  </si>
  <si>
    <t>Annex V.Part 2.312</t>
  </si>
  <si>
    <t>Annex V.Part 2.313</t>
  </si>
  <si>
    <r>
      <t>45.2 Gains or losses on derecognition of</t>
    </r>
    <r>
      <rPr>
        <b/>
        <strike/>
        <sz val="8"/>
        <rFont val="Verdana"/>
        <family val="2"/>
      </rPr>
      <t xml:space="preserve"> </t>
    </r>
    <r>
      <rPr>
        <b/>
        <sz val="8"/>
        <rFont val="Verdana"/>
        <family val="2"/>
      </rPr>
      <t xml:space="preserve">non-financial assets </t>
    </r>
  </si>
  <si>
    <t>GAINS OR (-) LOSSES ON DERECOGNITION OF NON-FINANCIAL ASSETS</t>
  </si>
  <si>
    <t>IAS 40.76(d); Annex V.Part 2.314</t>
  </si>
  <si>
    <t>IAS 40.75(f); Annex V.Part 2.314</t>
  </si>
  <si>
    <t>IAS 17.50, 51, 56(b); Annex V.Part 2.315</t>
  </si>
  <si>
    <t>Annex V.Part 2.316</t>
  </si>
  <si>
    <t>Operating leases other than investment property</t>
  </si>
  <si>
    <t>cells with values expressed in percentage : blue colour</t>
  </si>
  <si>
    <t>cells with text only : cyan colour</t>
  </si>
  <si>
    <t>F-11.03</t>
  </si>
  <si>
    <t>F-11.04</t>
  </si>
  <si>
    <t>004</t>
  </si>
  <si>
    <t>144</t>
  </si>
  <si>
    <t>F-12.01</t>
  </si>
  <si>
    <t>F-12.02</t>
  </si>
  <si>
    <t>F 09.01.01</t>
  </si>
  <si>
    <t>x1 - All countries (TOTAL)</t>
  </si>
  <si>
    <t>Country Breakdown (sheet per country)</t>
  </si>
  <si>
    <r>
      <t>IFRS 7.24A;</t>
    </r>
    <r>
      <rPr>
        <i/>
        <strike/>
        <sz val="8"/>
        <rFont val="Verdana"/>
        <family val="2"/>
      </rPr>
      <t xml:space="preserve"> </t>
    </r>
    <r>
      <rPr>
        <i/>
        <sz val="8"/>
        <rFont val="Verdana"/>
        <family val="2"/>
      </rPr>
      <t>IFRS 9.6.1; IFRS 9.6.2.2</t>
    </r>
  </si>
  <si>
    <r>
      <t>Commitments and financial guarantees given</t>
    </r>
    <r>
      <rPr>
        <b/>
        <strike/>
        <sz val="8"/>
        <rFont val="Verdana"/>
        <family val="2"/>
      </rPr>
      <t xml:space="preserve"> </t>
    </r>
  </si>
  <si>
    <r>
      <t xml:space="preserve">Gross carrying amount / nominal amount
</t>
    </r>
    <r>
      <rPr>
        <i/>
        <sz val="8"/>
        <rFont val="Verdana"/>
        <family val="2"/>
      </rPr>
      <t>Annex V.Part 1.34, Part 2.118, 167, 170</t>
    </r>
  </si>
  <si>
    <t>031</t>
  </si>
  <si>
    <r>
      <rPr>
        <sz val="8"/>
        <rFont val="Verdana"/>
        <family val="2"/>
        <charset val="161"/>
      </rPr>
      <t>080</t>
    </r>
  </si>
  <si>
    <t>Data Specified in 20.04-20.07.01:</t>
  </si>
  <si>
    <t>F-04.02.1</t>
  </si>
  <si>
    <t>F-04.02.2</t>
  </si>
  <si>
    <t>F-04.03.1</t>
  </si>
  <si>
    <t>F-04.04.1</t>
  </si>
  <si>
    <t>F-09.01.1</t>
  </si>
  <si>
    <t>F-16.04.1</t>
  </si>
  <si>
    <t>F-20.07.1</t>
  </si>
  <si>
    <t>Financial corporations other than credit institutions</t>
  </si>
  <si>
    <t>Financial corporations other than credit institutions and investment firms</t>
  </si>
  <si>
    <t>Investment firms</t>
  </si>
  <si>
    <t>V20181222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</si>
</sst>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_-;\-* #,##0.00_-;_-* \-??_-;_-@_-"/>
    <numFmt numFmtId="165" formatCode="_-* #,##0_-;\-* #,##0_-;_-* &quot;-&quot;??_-;_-@_-"/>
    <numFmt numFmtId="166" formatCode="#,##0_ ;\-#,##0\ "/>
    <numFmt numFmtId="167" formatCode="dd/mm/yyyy;@"/>
  </numFmts>
  <fonts count="162">
    <font>
      <sz val="10"/>
      <name val="Arial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indexed="8"/>
      <name val="Verdana"/>
      <family val="2"/>
    </font>
    <font>
      <i/>
      <sz val="8"/>
      <color indexed="8"/>
      <name val="Verdana"/>
      <family val="2"/>
    </font>
    <font>
      <sz val="8"/>
      <color indexed="8"/>
      <name val="Verdana"/>
      <family val="2"/>
    </font>
    <font>
      <i/>
      <sz val="8"/>
      <name val="Verdana"/>
      <family val="2"/>
    </font>
    <font>
      <b/>
      <i/>
      <sz val="8"/>
      <color indexed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u/>
      <sz val="8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u/>
      <sz val="7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name val="Arial"/>
      <family val="2"/>
    </font>
    <font>
      <i/>
      <sz val="10"/>
      <name val="Arial"/>
      <family val="2"/>
    </font>
    <font>
      <strike/>
      <sz val="8"/>
      <color indexed="8"/>
      <name val="Verdana"/>
      <family val="2"/>
    </font>
    <font>
      <sz val="10"/>
      <name val="Arial"/>
      <family val="2"/>
    </font>
    <font>
      <b/>
      <i/>
      <sz val="8"/>
      <name val="Verdana"/>
      <family val="2"/>
    </font>
    <font>
      <b/>
      <sz val="8"/>
      <name val="Arial"/>
      <family val="2"/>
    </font>
    <font>
      <i/>
      <strike/>
      <sz val="8"/>
      <name val="Verdana"/>
      <family val="2"/>
    </font>
    <font>
      <strike/>
      <sz val="8"/>
      <name val="Verdana"/>
      <family val="2"/>
    </font>
    <font>
      <b/>
      <u/>
      <sz val="8"/>
      <name val="Times New Roman"/>
      <family val="1"/>
    </font>
    <font>
      <i/>
      <sz val="8"/>
      <name val="Arial"/>
      <family val="2"/>
    </font>
    <font>
      <i/>
      <sz val="7"/>
      <name val="Verdana"/>
      <family val="2"/>
    </font>
    <font>
      <b/>
      <strike/>
      <sz val="8"/>
      <name val="Verdana"/>
      <family val="2"/>
    </font>
    <font>
      <i/>
      <strike/>
      <sz val="8"/>
      <color indexed="8"/>
      <name val="Verdana"/>
      <family val="2"/>
    </font>
    <font>
      <b/>
      <sz val="8"/>
      <name val="Times New Roman"/>
      <family val="1"/>
    </font>
    <font>
      <vertAlign val="superscript"/>
      <sz val="8"/>
      <name val="Verdana"/>
      <family val="2"/>
    </font>
    <font>
      <b/>
      <sz val="8"/>
      <color indexed="10"/>
      <name val="Verdana"/>
      <family val="2"/>
    </font>
    <font>
      <b/>
      <u/>
      <sz val="7"/>
      <name val="Verdana"/>
      <family val="2"/>
    </font>
    <font>
      <sz val="10"/>
      <name val="Verdana"/>
      <family val="2"/>
    </font>
    <font>
      <u/>
      <sz val="8"/>
      <name val="Arial"/>
      <family val="2"/>
    </font>
    <font>
      <b/>
      <u/>
      <sz val="8"/>
      <color indexed="8"/>
      <name val="Verdan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6.5"/>
      <color indexed="12"/>
      <name val="Arial"/>
      <family val="2"/>
    </font>
    <font>
      <b/>
      <sz val="11"/>
      <color indexed="8"/>
      <name val="Calibri"/>
      <family val="2"/>
    </font>
    <font>
      <sz val="11"/>
      <color indexed="60"/>
      <name val="Calibri"/>
      <family val="2"/>
    </font>
    <font>
      <sz val="8"/>
      <color indexed="8"/>
      <name val="Verdana"/>
      <family val="2"/>
      <charset val="161"/>
    </font>
    <font>
      <b/>
      <sz val="8"/>
      <color indexed="8"/>
      <name val="Verdana"/>
      <family val="2"/>
      <charset val="161"/>
    </font>
    <font>
      <b/>
      <u/>
      <sz val="8"/>
      <name val="Verdana"/>
      <family val="2"/>
      <charset val="161"/>
    </font>
    <font>
      <b/>
      <sz val="8"/>
      <name val="Verdana"/>
      <family val="2"/>
      <charset val="161"/>
    </font>
    <font>
      <b/>
      <i/>
      <sz val="8"/>
      <color indexed="8"/>
      <name val="Verdana"/>
      <family val="2"/>
      <charset val="161"/>
    </font>
    <font>
      <sz val="8"/>
      <name val="Verdana"/>
      <family val="2"/>
      <charset val="161"/>
    </font>
    <font>
      <i/>
      <sz val="8"/>
      <name val="Verdana"/>
      <family val="2"/>
      <charset val="161"/>
    </font>
    <font>
      <i/>
      <sz val="8"/>
      <color indexed="8"/>
      <name val="Verdana"/>
      <family val="2"/>
      <charset val="161"/>
    </font>
    <font>
      <i/>
      <strike/>
      <sz val="8"/>
      <color indexed="8"/>
      <name val="Verdana"/>
      <family val="2"/>
      <charset val="161"/>
    </font>
    <font>
      <sz val="8"/>
      <color indexed="10"/>
      <name val="Verdana"/>
      <family val="2"/>
      <charset val="161"/>
    </font>
    <font>
      <sz val="11"/>
      <color indexed="8"/>
      <name val="Verdana"/>
      <family val="2"/>
      <charset val="161"/>
    </font>
    <font>
      <sz val="10"/>
      <name val="Verdana"/>
      <family val="2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sz val="12"/>
      <color indexed="8"/>
      <name val="Arial"/>
      <family val="2"/>
      <charset val="161"/>
    </font>
    <font>
      <sz val="7"/>
      <name val="Verdana"/>
      <family val="2"/>
    </font>
    <font>
      <b/>
      <sz val="9"/>
      <color indexed="8"/>
      <name val="BdE Neue Helvetica 45 Light"/>
      <family val="2"/>
    </font>
    <font>
      <sz val="9"/>
      <color indexed="8"/>
      <name val="BdE Neue Helvetica 45 Light"/>
      <family val="2"/>
    </font>
    <font>
      <sz val="14"/>
      <color indexed="8"/>
      <name val="BdE Neue Helvetica 45 Light"/>
      <family val="2"/>
    </font>
    <font>
      <sz val="16"/>
      <color indexed="8"/>
      <name val="BdE Neue Helvetica 45 Light"/>
      <family val="2"/>
    </font>
    <font>
      <b/>
      <sz val="12"/>
      <name val="Verdana"/>
      <family val="2"/>
      <charset val="161"/>
    </font>
    <font>
      <b/>
      <i/>
      <sz val="12"/>
      <name val="Verdana"/>
      <family val="2"/>
      <charset val="161"/>
    </font>
    <font>
      <b/>
      <sz val="14"/>
      <color indexed="8"/>
      <name val="BdE Neue Helvetica 45 Light"/>
      <family val="2"/>
    </font>
    <font>
      <sz val="12"/>
      <color indexed="8"/>
      <name val="Verdana"/>
      <family val="2"/>
    </font>
    <font>
      <b/>
      <sz val="12"/>
      <color indexed="8"/>
      <name val="Verdana"/>
      <family val="2"/>
    </font>
    <font>
      <b/>
      <sz val="14"/>
      <color indexed="8"/>
      <name val="Verdana"/>
      <family val="2"/>
    </font>
    <font>
      <sz val="14"/>
      <color indexed="8"/>
      <name val="Verdana"/>
      <family val="2"/>
    </font>
    <font>
      <i/>
      <sz val="10"/>
      <name val="Verdana"/>
      <family val="2"/>
      <charset val="161"/>
    </font>
    <font>
      <b/>
      <sz val="10"/>
      <name val="Verdana"/>
      <family val="2"/>
      <charset val="161"/>
    </font>
    <font>
      <b/>
      <sz val="12"/>
      <color indexed="62"/>
      <name val="Calibri"/>
      <family val="2"/>
      <charset val="161"/>
    </font>
    <font>
      <sz val="11"/>
      <color indexed="8"/>
      <name val="Calibri"/>
      <family val="2"/>
      <charset val="161"/>
    </font>
    <font>
      <b/>
      <u/>
      <sz val="10"/>
      <name val="Verdana"/>
      <family val="2"/>
    </font>
    <font>
      <b/>
      <sz val="10"/>
      <color indexed="8"/>
      <name val="Verdana"/>
      <family val="2"/>
    </font>
    <font>
      <b/>
      <sz val="10"/>
      <name val="Verdana"/>
      <family val="2"/>
    </font>
    <font>
      <b/>
      <i/>
      <sz val="10"/>
      <color indexed="8"/>
      <name val="Verdana"/>
      <family val="2"/>
    </font>
    <font>
      <i/>
      <sz val="10"/>
      <name val="Verdana"/>
      <family val="2"/>
    </font>
    <font>
      <b/>
      <sz val="10"/>
      <name val="Arial"/>
      <family val="2"/>
    </font>
    <font>
      <sz val="10"/>
      <color indexed="8"/>
      <name val="Verdana"/>
      <family val="2"/>
    </font>
    <font>
      <sz val="11"/>
      <color indexed="8"/>
      <name val="Verdana"/>
      <family val="2"/>
    </font>
    <font>
      <sz val="12"/>
      <name val="Verdana"/>
      <family val="2"/>
      <charset val="161"/>
    </font>
    <font>
      <sz val="11"/>
      <color theme="1"/>
      <name val="Calibri"/>
      <family val="2"/>
      <scheme val="minor"/>
    </font>
    <font>
      <sz val="10"/>
      <color theme="1"/>
      <name val="BdE Neue Helvetica 45 Light"/>
      <family val="2"/>
    </font>
    <font>
      <sz val="10"/>
      <color theme="1"/>
      <name val="Arial"/>
      <family val="2"/>
    </font>
    <font>
      <b/>
      <i/>
      <sz val="8"/>
      <color theme="0"/>
      <name val="Verdana"/>
      <family val="2"/>
    </font>
    <font>
      <i/>
      <sz val="8"/>
      <color rgb="FFFF0000"/>
      <name val="Verdana"/>
      <family val="2"/>
    </font>
    <font>
      <b/>
      <sz val="8"/>
      <color rgb="FFFF0000"/>
      <name val="Verdana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8"/>
      <color rgb="FFFF0000"/>
      <name val="Verdana"/>
      <family val="2"/>
    </font>
    <font>
      <sz val="8"/>
      <color rgb="FFFF0000"/>
      <name val="Verdana"/>
      <family val="2"/>
      <charset val="161"/>
    </font>
    <font>
      <b/>
      <sz val="8"/>
      <color theme="1"/>
      <name val="Verdana"/>
      <family val="2"/>
      <charset val="161"/>
    </font>
    <font>
      <sz val="8"/>
      <color rgb="FF00B050"/>
      <name val="Verdana"/>
      <family val="2"/>
      <charset val="161"/>
    </font>
    <font>
      <sz val="8"/>
      <color rgb="FFFF0000"/>
      <name val="Arial"/>
      <family val="2"/>
      <charset val="161"/>
    </font>
    <font>
      <b/>
      <sz val="8"/>
      <color rgb="FF000000"/>
      <name val="Verdana"/>
      <family val="2"/>
    </font>
    <font>
      <b/>
      <sz val="8"/>
      <color rgb="FFFF0000"/>
      <name val="Verdana"/>
      <family val="2"/>
      <charset val="161"/>
    </font>
    <font>
      <sz val="11"/>
      <name val="Calibri"/>
      <family val="2"/>
      <scheme val="minor"/>
    </font>
    <font>
      <sz val="12"/>
      <color rgb="FF9C6500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name val="Calibri"/>
      <family val="2"/>
      <scheme val="minor"/>
    </font>
    <font>
      <sz val="14"/>
      <color rgb="FF9C6500"/>
      <name val="Calibri"/>
      <family val="2"/>
      <scheme val="minor"/>
    </font>
    <font>
      <sz val="16"/>
      <color rgb="FF9C6500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color rgb="FFFF0000"/>
      <name val="Arial"/>
      <family val="2"/>
      <charset val="161"/>
    </font>
    <font>
      <b/>
      <sz val="14"/>
      <color rgb="FF006100"/>
      <name val="Calibri"/>
      <family val="2"/>
      <scheme val="minor"/>
    </font>
    <font>
      <b/>
      <sz val="14"/>
      <color rgb="FF9C6500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i/>
      <sz val="10"/>
      <color theme="1"/>
      <name val="Arial"/>
      <family val="2"/>
    </font>
    <font>
      <b/>
      <i/>
      <sz val="8"/>
      <color theme="1"/>
      <name val="Verdana"/>
      <family val="2"/>
    </font>
    <font>
      <b/>
      <sz val="12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b/>
      <sz val="11"/>
      <color rgb="FF0000FF"/>
      <name val="Calibri"/>
      <family val="2"/>
      <charset val="161"/>
      <scheme val="minor"/>
    </font>
    <font>
      <b/>
      <sz val="8"/>
      <color theme="7" tint="0.59999389629810485"/>
      <name val="Verdana"/>
      <family val="2"/>
      <charset val="161"/>
    </font>
    <font>
      <b/>
      <sz val="12"/>
      <color rgb="FFFF0000"/>
      <name val="Verdana"/>
      <family val="2"/>
      <charset val="161"/>
    </font>
    <font>
      <strike/>
      <sz val="8"/>
      <name val="Cambria"/>
      <family val="1"/>
      <charset val="161"/>
    </font>
    <font>
      <strike/>
      <sz val="8"/>
      <name val="Verdana"/>
      <family val="2"/>
      <charset val="161"/>
    </font>
    <font>
      <b/>
      <strike/>
      <sz val="8"/>
      <color rgb="FFFF0000"/>
      <name val="Verdana"/>
      <family val="2"/>
    </font>
    <font>
      <b/>
      <u/>
      <sz val="8"/>
      <color rgb="FFFF0000"/>
      <name val="Verdana"/>
      <family val="2"/>
    </font>
    <font>
      <i/>
      <sz val="12"/>
      <color rgb="FFFF0000"/>
      <name val="Verdana"/>
      <family val="2"/>
      <charset val="161"/>
    </font>
    <font>
      <strike/>
      <sz val="8"/>
      <color rgb="FFFF0000"/>
      <name val="Cambria"/>
      <family val="1"/>
      <charset val="161"/>
    </font>
    <font>
      <sz val="8"/>
      <color rgb="FFFF0000"/>
      <name val="Cambria"/>
      <family val="1"/>
      <charset val="161"/>
    </font>
    <font>
      <b/>
      <sz val="8"/>
      <color indexed="12"/>
      <name val="Verdana"/>
      <family val="2"/>
      <charset val="161"/>
    </font>
    <font>
      <sz val="8"/>
      <color theme="0" tint="-0.499984740745262"/>
      <name val="Verdana"/>
      <family val="2"/>
    </font>
    <font>
      <b/>
      <sz val="8"/>
      <color theme="0" tint="-0.499984740745262"/>
      <name val="Verdana"/>
      <family val="2"/>
    </font>
    <font>
      <b/>
      <sz val="8"/>
      <name val="Arial"/>
      <family val="2"/>
      <charset val="161"/>
    </font>
    <font>
      <b/>
      <sz val="8"/>
      <color indexed="12"/>
      <name val="Arial"/>
      <family val="2"/>
      <charset val="161"/>
    </font>
    <font>
      <b/>
      <sz val="8"/>
      <color theme="0"/>
      <name val="Verdana"/>
      <family val="2"/>
      <charset val="161"/>
    </font>
    <font>
      <sz val="8"/>
      <color theme="0"/>
      <name val="Verdana"/>
      <family val="2"/>
      <charset val="161"/>
    </font>
  </fonts>
  <fills count="5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8D74A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8DB4E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Down">
        <bgColor theme="0"/>
      </patternFill>
    </fill>
    <fill>
      <patternFill patternType="solid">
        <fgColor theme="0" tint="-0.1499679555650502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</borders>
  <cellStyleXfs count="296">
    <xf numFmtId="0" fontId="0" fillId="0" borderId="0"/>
    <xf numFmtId="0" fontId="4" fillId="0" borderId="0">
      <alignment vertical="center"/>
    </xf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" fillId="7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33" fillId="2" borderId="0" applyNumberFormat="0" applyBorder="0" applyAlignment="0" applyProtection="0"/>
    <xf numFmtId="0" fontId="1" fillId="2" borderId="0" applyNumberFormat="0" applyBorder="0" applyAlignment="0" applyProtection="0"/>
    <xf numFmtId="0" fontId="33" fillId="3" borderId="0" applyNumberFormat="0" applyBorder="0" applyAlignment="0" applyProtection="0"/>
    <xf numFmtId="0" fontId="1" fillId="3" borderId="0" applyNumberFormat="0" applyBorder="0" applyAlignment="0" applyProtection="0"/>
    <xf numFmtId="0" fontId="33" fillId="4" borderId="0" applyNumberFormat="0" applyBorder="0" applyAlignment="0" applyProtection="0"/>
    <xf numFmtId="0" fontId="1" fillId="4" borderId="0" applyNumberFormat="0" applyBorder="0" applyAlignment="0" applyProtection="0"/>
    <xf numFmtId="0" fontId="33" fillId="5" borderId="0" applyNumberFormat="0" applyBorder="0" applyAlignment="0" applyProtection="0"/>
    <xf numFmtId="0" fontId="1" fillId="5" borderId="0" applyNumberFormat="0" applyBorder="0" applyAlignment="0" applyProtection="0"/>
    <xf numFmtId="0" fontId="33" fillId="6" borderId="0" applyNumberFormat="0" applyBorder="0" applyAlignment="0" applyProtection="0"/>
    <xf numFmtId="0" fontId="1" fillId="6" borderId="0" applyNumberFormat="0" applyBorder="0" applyAlignment="0" applyProtection="0"/>
    <xf numFmtId="0" fontId="33" fillId="7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1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33" fillId="8" borderId="0" applyNumberFormat="0" applyBorder="0" applyAlignment="0" applyProtection="0"/>
    <xf numFmtId="0" fontId="1" fillId="8" borderId="0" applyNumberFormat="0" applyBorder="0" applyAlignment="0" applyProtection="0"/>
    <xf numFmtId="0" fontId="33" fillId="9" borderId="0" applyNumberFormat="0" applyBorder="0" applyAlignment="0" applyProtection="0"/>
    <xf numFmtId="0" fontId="1" fillId="9" borderId="0" applyNumberFormat="0" applyBorder="0" applyAlignment="0" applyProtection="0"/>
    <xf numFmtId="0" fontId="33" fillId="10" borderId="0" applyNumberFormat="0" applyBorder="0" applyAlignment="0" applyProtection="0"/>
    <xf numFmtId="0" fontId="1" fillId="10" borderId="0" applyNumberFormat="0" applyBorder="0" applyAlignment="0" applyProtection="0"/>
    <xf numFmtId="0" fontId="33" fillId="5" borderId="0" applyNumberFormat="0" applyBorder="0" applyAlignment="0" applyProtection="0"/>
    <xf numFmtId="0" fontId="1" fillId="5" borderId="0" applyNumberFormat="0" applyBorder="0" applyAlignment="0" applyProtection="0"/>
    <xf numFmtId="0" fontId="33" fillId="8" borderId="0" applyNumberFormat="0" applyBorder="0" applyAlignment="0" applyProtection="0"/>
    <xf numFmtId="0" fontId="1" fillId="8" borderId="0" applyNumberFormat="0" applyBorder="0" applyAlignment="0" applyProtection="0"/>
    <xf numFmtId="0" fontId="33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40" fillId="7" borderId="1" applyNumberFormat="0" applyAlignment="0" applyProtection="0"/>
    <xf numFmtId="0" fontId="35" fillId="4" borderId="0" applyNumberFormat="0" applyBorder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36" fillId="20" borderId="1" applyNumberFormat="0" applyAlignment="0" applyProtection="0"/>
    <xf numFmtId="0" fontId="37" fillId="21" borderId="2" applyNumberFormat="0" applyAlignment="0" applyProtection="0"/>
    <xf numFmtId="0" fontId="38" fillId="0" borderId="3" applyNumberFormat="0" applyFill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29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46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43" fontId="6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7" fillId="21" borderId="2" applyNumberFormat="0" applyAlignment="0" applyProtection="0"/>
    <xf numFmtId="0" fontId="39" fillId="0" borderId="0" applyNumberFormat="0" applyFill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9" borderId="0" applyNumberFormat="0" applyBorder="0" applyAlignment="0" applyProtection="0"/>
    <xf numFmtId="0" fontId="40" fillId="7" borderId="1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4" fillId="22" borderId="7" applyNumberFormat="0" applyFont="0" applyBorder="0" applyProtection="0">
      <alignment horizontal="center" vertical="center"/>
    </xf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3" fontId="4" fillId="23" borderId="7" applyFont="0" applyProtection="0">
      <alignment horizontal="right" vertical="center"/>
    </xf>
    <xf numFmtId="0" fontId="4" fillId="23" borderId="8" applyNumberFormat="0" applyFont="0" applyBorder="0" applyProtection="0">
      <alignment horizontal="left"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38" fillId="0" borderId="3" applyNumberFormat="0" applyFill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41" fillId="3" borderId="0" applyNumberFormat="0" applyBorder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3" fontId="4" fillId="24" borderId="7" applyFont="0">
      <alignment horizontal="right" vertical="center"/>
      <protection locked="0"/>
    </xf>
    <xf numFmtId="0" fontId="4" fillId="25" borderId="9" applyNumberFormat="0" applyFont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9" borderId="0" applyNumberFormat="0" applyBorder="0" applyAlignment="0" applyProtection="0"/>
    <xf numFmtId="0" fontId="35" fillId="4" borderId="0" applyNumberFormat="0" applyBorder="0" applyAlignment="0" applyProtection="0"/>
    <xf numFmtId="0" fontId="42" fillId="20" borderId="10" applyNumberFormat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44" fillId="0" borderId="0" applyNumberFormat="0" applyFill="0" applyBorder="0" applyAlignment="0" applyProtection="0"/>
    <xf numFmtId="164" fontId="13" fillId="0" borderId="0" applyFill="0" applyBorder="0" applyAlignment="0" applyProtection="0"/>
    <xf numFmtId="164" fontId="4" fillId="0" borderId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84" fillId="0" borderId="0"/>
    <xf numFmtId="0" fontId="1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113" fillId="0" borderId="0"/>
    <xf numFmtId="0" fontId="4" fillId="0" borderId="0"/>
    <xf numFmtId="0" fontId="50" fillId="0" borderId="0"/>
    <xf numFmtId="0" fontId="4" fillId="0" borderId="0"/>
    <xf numFmtId="0" fontId="112" fillId="0" borderId="0"/>
    <xf numFmtId="0" fontId="2" fillId="0" borderId="0"/>
    <xf numFmtId="0" fontId="114" fillId="0" borderId="0"/>
    <xf numFmtId="0" fontId="112" fillId="0" borderId="0"/>
    <xf numFmtId="0" fontId="4" fillId="0" borderId="0"/>
    <xf numFmtId="0" fontId="4" fillId="0" borderId="0"/>
    <xf numFmtId="0" fontId="113" fillId="0" borderId="0"/>
    <xf numFmtId="0" fontId="112" fillId="0" borderId="0"/>
    <xf numFmtId="0" fontId="3" fillId="0" borderId="0"/>
    <xf numFmtId="0" fontId="4" fillId="0" borderId="0"/>
    <xf numFmtId="0" fontId="4" fillId="25" borderId="9" applyNumberFormat="0" applyFont="0" applyAlignment="0" applyProtection="0"/>
    <xf numFmtId="0" fontId="4" fillId="25" borderId="9" applyNumberFormat="0" applyFont="0" applyAlignment="0" applyProtection="0"/>
    <xf numFmtId="0" fontId="4" fillId="25" borderId="9" applyNumberFormat="0" applyFont="0" applyAlignment="0" applyProtection="0"/>
    <xf numFmtId="0" fontId="70" fillId="0" borderId="11" applyNumberFormat="0" applyFill="0" applyAlignment="0" applyProtection="0"/>
    <xf numFmtId="0" fontId="28" fillId="20" borderId="10" applyNumberFormat="0" applyAlignment="0" applyProtection="0"/>
    <xf numFmtId="0" fontId="28" fillId="20" borderId="10" applyNumberForma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1" fillId="3" borderId="0" applyNumberFormat="0" applyBorder="0" applyAlignment="0" applyProtection="0"/>
    <xf numFmtId="0" fontId="42" fillId="20" borderId="10" applyNumberFormat="0" applyAlignment="0" applyProtection="0"/>
    <xf numFmtId="0" fontId="71" fillId="26" borderId="0" applyNumberFormat="0" applyBorder="0" applyAlignment="0" applyProtection="0"/>
    <xf numFmtId="3" fontId="4" fillId="27" borderId="7" applyFont="0">
      <alignment horizontal="right" vertical="center"/>
    </xf>
    <xf numFmtId="0" fontId="4" fillId="0" borderId="0"/>
    <xf numFmtId="0" fontId="4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2" fillId="0" borderId="0"/>
    <xf numFmtId="0" fontId="36" fillId="20" borderId="1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46" fillId="0" borderId="5" applyNumberFormat="0" applyFill="0" applyAlignment="0" applyProtection="0"/>
    <xf numFmtId="0" fontId="39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0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2153">
    <xf numFmtId="0" fontId="0" fillId="0" borderId="0" xfId="0"/>
    <xf numFmtId="0" fontId="11" fillId="0" borderId="0" xfId="0" applyFont="1" applyAlignment="1">
      <alignment horizontal="left"/>
    </xf>
    <xf numFmtId="0" fontId="10" fillId="0" borderId="12" xfId="0" applyFont="1" applyFill="1" applyBorder="1" applyAlignment="1">
      <alignment horizontal="left" vertical="top" wrapText="1" indent="1"/>
    </xf>
    <xf numFmtId="0" fontId="48" fillId="0" borderId="0" xfId="0" applyFont="1"/>
    <xf numFmtId="0" fontId="5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 indent="1"/>
    </xf>
    <xf numFmtId="0" fontId="7" fillId="0" borderId="12" xfId="0" applyFont="1" applyFill="1" applyBorder="1" applyAlignment="1">
      <alignment horizontal="left" vertical="center" wrapText="1" indent="1"/>
    </xf>
    <xf numFmtId="0" fontId="11" fillId="0" borderId="12" xfId="0" applyFont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 indent="1"/>
    </xf>
    <xf numFmtId="0" fontId="48" fillId="0" borderId="13" xfId="0" applyFont="1" applyBorder="1"/>
    <xf numFmtId="0" fontId="7" fillId="0" borderId="12" xfId="0" applyFont="1" applyFill="1" applyBorder="1" applyAlignment="1">
      <alignment horizontal="left" vertical="top" wrapText="1" indent="1"/>
    </xf>
    <xf numFmtId="0" fontId="12" fillId="0" borderId="0" xfId="0" applyFont="1" applyBorder="1" applyAlignment="1">
      <alignment horizontal="left"/>
    </xf>
    <xf numFmtId="0" fontId="48" fillId="0" borderId="0" xfId="0" applyFont="1" applyBorder="1"/>
    <xf numFmtId="0" fontId="48" fillId="0" borderId="14" xfId="0" applyFont="1" applyBorder="1"/>
    <xf numFmtId="0" fontId="8" fillId="0" borderId="12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11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4" fillId="0" borderId="0" xfId="0" applyFont="1"/>
    <xf numFmtId="0" fontId="7" fillId="0" borderId="17" xfId="0" applyFont="1" applyFill="1" applyBorder="1" applyAlignment="1">
      <alignment horizontal="left" vertical="center" wrapText="1" indent="1"/>
    </xf>
    <xf numFmtId="0" fontId="6" fillId="0" borderId="17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left" vertical="center" wrapText="1" indent="1"/>
    </xf>
    <xf numFmtId="0" fontId="6" fillId="0" borderId="18" xfId="0" applyFont="1" applyFill="1" applyBorder="1" applyAlignment="1">
      <alignment horizontal="left" vertical="center" wrapText="1"/>
    </xf>
    <xf numFmtId="0" fontId="10" fillId="0" borderId="12" xfId="237" applyFont="1" applyFill="1" applyBorder="1" applyAlignment="1">
      <alignment horizontal="justify" vertical="top" wrapText="1"/>
    </xf>
    <xf numFmtId="0" fontId="47" fillId="0" borderId="0" xfId="0" applyFont="1"/>
    <xf numFmtId="0" fontId="12" fillId="0" borderId="0" xfId="236" applyFont="1" applyAlignment="1">
      <alignment horizontal="left"/>
    </xf>
    <xf numFmtId="0" fontId="47" fillId="0" borderId="0" xfId="236" applyFont="1"/>
    <xf numFmtId="0" fontId="11" fillId="0" borderId="0" xfId="236" applyFont="1"/>
    <xf numFmtId="0" fontId="47" fillId="0" borderId="0" xfId="236" applyFont="1" applyAlignment="1">
      <alignment horizontal="center"/>
    </xf>
    <xf numFmtId="0" fontId="10" fillId="0" borderId="15" xfId="224" applyFont="1" applyFill="1" applyBorder="1" applyAlignment="1">
      <alignment horizontal="left" vertical="center" wrapText="1"/>
    </xf>
    <xf numFmtId="0" fontId="10" fillId="0" borderId="12" xfId="224" applyFont="1" applyFill="1" applyBorder="1" applyAlignment="1">
      <alignment horizontal="left" vertical="center" wrapText="1"/>
    </xf>
    <xf numFmtId="0" fontId="47" fillId="0" borderId="0" xfId="236" applyFont="1" applyFill="1"/>
    <xf numFmtId="0" fontId="10" fillId="0" borderId="18" xfId="224" applyFont="1" applyFill="1" applyBorder="1" applyAlignment="1">
      <alignment horizontal="left" vertical="center" wrapText="1"/>
    </xf>
    <xf numFmtId="0" fontId="47" fillId="0" borderId="13" xfId="0" applyFont="1" applyBorder="1"/>
    <xf numFmtId="0" fontId="47" fillId="0" borderId="0" xfId="0" applyFont="1" applyAlignment="1">
      <alignment horizontal="center"/>
    </xf>
    <xf numFmtId="0" fontId="10" fillId="27" borderId="12" xfId="224" applyFont="1" applyFill="1" applyBorder="1" applyAlignment="1">
      <alignment horizontal="left" wrapText="1" indent="1"/>
    </xf>
    <xf numFmtId="0" fontId="10" fillId="0" borderId="12" xfId="224" applyFont="1" applyFill="1" applyBorder="1" applyAlignment="1">
      <alignment horizontal="left" wrapText="1" indent="1"/>
    </xf>
    <xf numFmtId="0" fontId="8" fillId="0" borderId="17" xfId="0" applyFont="1" applyFill="1" applyBorder="1" applyAlignment="1">
      <alignment horizontal="left" vertical="center" wrapText="1"/>
    </xf>
    <xf numFmtId="0" fontId="8" fillId="28" borderId="12" xfId="0" applyFont="1" applyFill="1" applyBorder="1" applyAlignment="1">
      <alignment horizontal="left" vertical="center" wrapText="1"/>
    </xf>
    <xf numFmtId="0" fontId="10" fillId="28" borderId="18" xfId="0" applyFont="1" applyFill="1" applyBorder="1" applyAlignment="1">
      <alignment horizontal="left" vertical="center" wrapText="1" indent="1"/>
    </xf>
    <xf numFmtId="0" fontId="5" fillId="28" borderId="12" xfId="0" applyFont="1" applyFill="1" applyBorder="1" applyAlignment="1">
      <alignment horizontal="left" vertical="center" wrapText="1"/>
    </xf>
    <xf numFmtId="0" fontId="10" fillId="28" borderId="12" xfId="0" applyFont="1" applyFill="1" applyBorder="1" applyAlignment="1">
      <alignment horizontal="left" vertical="center" wrapText="1" indent="1"/>
    </xf>
    <xf numFmtId="0" fontId="7" fillId="28" borderId="12" xfId="0" applyFont="1" applyFill="1" applyBorder="1" applyAlignment="1">
      <alignment horizontal="left" vertical="center" wrapText="1" indent="1"/>
    </xf>
    <xf numFmtId="0" fontId="7" fillId="28" borderId="12" xfId="0" applyFont="1" applyFill="1" applyBorder="1" applyAlignment="1">
      <alignment horizontal="center" vertical="center" wrapText="1"/>
    </xf>
    <xf numFmtId="0" fontId="10" fillId="28" borderId="12" xfId="0" applyFont="1" applyFill="1" applyBorder="1" applyAlignment="1">
      <alignment horizontal="left" vertical="top" wrapText="1" indent="1"/>
    </xf>
    <xf numFmtId="0" fontId="5" fillId="28" borderId="12" xfId="0" applyFont="1" applyFill="1" applyBorder="1" applyAlignment="1">
      <alignment vertical="center" wrapText="1"/>
    </xf>
    <xf numFmtId="0" fontId="6" fillId="28" borderId="12" xfId="0" applyFont="1" applyFill="1" applyBorder="1" applyAlignment="1">
      <alignment horizontal="left" vertical="center" wrapText="1"/>
    </xf>
    <xf numFmtId="0" fontId="5" fillId="28" borderId="12" xfId="0" applyFont="1" applyFill="1" applyBorder="1" applyAlignment="1">
      <alignment horizontal="justify" vertical="top" wrapText="1"/>
    </xf>
    <xf numFmtId="0" fontId="7" fillId="28" borderId="17" xfId="0" applyFont="1" applyFill="1" applyBorder="1" applyAlignment="1">
      <alignment horizontal="center" vertical="center" wrapText="1"/>
    </xf>
    <xf numFmtId="0" fontId="8" fillId="28" borderId="16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47" fillId="0" borderId="0" xfId="224" applyFont="1" applyFill="1"/>
    <xf numFmtId="0" fontId="11" fillId="0" borderId="0" xfId="224" applyFont="1" applyAlignment="1">
      <alignment horizontal="left"/>
    </xf>
    <xf numFmtId="0" fontId="10" fillId="0" borderId="0" xfId="0" applyFont="1" applyFill="1" applyBorder="1" applyAlignment="1">
      <alignment horizontal="center" wrapText="1"/>
    </xf>
    <xf numFmtId="0" fontId="47" fillId="0" borderId="0" xfId="224" applyFont="1"/>
    <xf numFmtId="0" fontId="11" fillId="0" borderId="0" xfId="224" applyFont="1"/>
    <xf numFmtId="0" fontId="11" fillId="0" borderId="0" xfId="224" applyFont="1" applyFill="1" applyBorder="1" applyAlignment="1">
      <alignment wrapText="1"/>
    </xf>
    <xf numFmtId="0" fontId="10" fillId="0" borderId="0" xfId="224" applyFont="1" applyFill="1" applyBorder="1" applyAlignment="1">
      <alignment horizontal="center" wrapText="1"/>
    </xf>
    <xf numFmtId="0" fontId="11" fillId="0" borderId="0" xfId="0" applyFont="1"/>
    <xf numFmtId="0" fontId="56" fillId="0" borderId="0" xfId="0" applyFont="1"/>
    <xf numFmtId="0" fontId="51" fillId="0" borderId="0" xfId="0" applyFont="1"/>
    <xf numFmtId="0" fontId="8" fillId="28" borderId="12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right" wrapText="1"/>
    </xf>
    <xf numFmtId="0" fontId="10" fillId="28" borderId="12" xfId="237" applyFont="1" applyFill="1" applyBorder="1" applyAlignment="1">
      <alignment horizontal="justify" vertical="top" wrapText="1"/>
    </xf>
    <xf numFmtId="0" fontId="8" fillId="28" borderId="12" xfId="237" applyFont="1" applyFill="1" applyBorder="1" applyAlignment="1">
      <alignment horizontal="justify" vertical="top" wrapText="1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7" xfId="224" applyFont="1" applyFill="1" applyBorder="1" applyAlignment="1">
      <alignment vertical="top" wrapText="1"/>
    </xf>
    <xf numFmtId="0" fontId="8" fillId="0" borderId="18" xfId="0" applyFont="1" applyFill="1" applyBorder="1" applyAlignment="1">
      <alignment vertical="center" wrapText="1"/>
    </xf>
    <xf numFmtId="0" fontId="8" fillId="28" borderId="15" xfId="0" applyFont="1" applyFill="1" applyBorder="1" applyAlignment="1">
      <alignment horizontal="left" vertical="center" wrapText="1"/>
    </xf>
    <xf numFmtId="0" fontId="8" fillId="28" borderId="12" xfId="0" applyFont="1" applyFill="1" applyBorder="1" applyAlignment="1">
      <alignment vertical="center" wrapText="1"/>
    </xf>
    <xf numFmtId="0" fontId="47" fillId="0" borderId="0" xfId="237" applyFont="1"/>
    <xf numFmtId="0" fontId="56" fillId="0" borderId="0" xfId="237" applyFont="1"/>
    <xf numFmtId="0" fontId="11" fillId="0" borderId="7" xfId="237" applyFont="1" applyFill="1" applyBorder="1" applyAlignment="1">
      <alignment vertical="center" wrapText="1"/>
    </xf>
    <xf numFmtId="0" fontId="10" fillId="0" borderId="12" xfId="224" applyFont="1" applyFill="1" applyBorder="1" applyAlignment="1">
      <alignment horizontal="left" vertical="top" wrapText="1" indent="1"/>
    </xf>
    <xf numFmtId="0" fontId="10" fillId="0" borderId="17" xfId="224" applyFont="1" applyFill="1" applyBorder="1" applyAlignment="1">
      <alignment horizontal="left" vertical="top" wrapText="1" indent="1"/>
    </xf>
    <xf numFmtId="0" fontId="12" fillId="0" borderId="0" xfId="224" applyFont="1" applyFill="1" applyAlignment="1">
      <alignment horizontal="left"/>
    </xf>
    <xf numFmtId="0" fontId="8" fillId="28" borderId="15" xfId="224" applyFont="1" applyFill="1" applyBorder="1" applyAlignment="1">
      <alignment horizontal="left" vertical="center" wrapText="1"/>
    </xf>
    <xf numFmtId="0" fontId="10" fillId="0" borderId="0" xfId="224" applyFont="1" applyAlignment="1">
      <alignment horizontal="justify"/>
    </xf>
    <xf numFmtId="0" fontId="47" fillId="0" borderId="0" xfId="224" applyFont="1" applyAlignment="1">
      <alignment vertical="center"/>
    </xf>
    <xf numFmtId="0" fontId="10" fillId="0" borderId="12" xfId="224" applyFont="1" applyBorder="1" applyAlignment="1">
      <alignment horizontal="left" vertical="top" wrapText="1" indent="1"/>
    </xf>
    <xf numFmtId="0" fontId="10" fillId="0" borderId="0" xfId="224" applyFont="1"/>
    <xf numFmtId="0" fontId="61" fillId="0" borderId="0" xfId="224" applyFont="1"/>
    <xf numFmtId="0" fontId="10" fillId="0" borderId="12" xfId="224" applyFont="1" applyBorder="1" applyAlignment="1">
      <alignment horizontal="justify" vertical="top" wrapText="1"/>
    </xf>
    <xf numFmtId="0" fontId="10" fillId="0" borderId="17" xfId="224" applyFont="1" applyBorder="1" applyAlignment="1">
      <alignment horizontal="justify" vertical="top" wrapText="1"/>
    </xf>
    <xf numFmtId="0" fontId="11" fillId="0" borderId="7" xfId="224" applyFont="1" applyFill="1" applyBorder="1" applyAlignment="1">
      <alignment vertical="top" wrapText="1"/>
    </xf>
    <xf numFmtId="0" fontId="11" fillId="0" borderId="0" xfId="224" applyFont="1" applyFill="1" applyBorder="1" applyAlignment="1">
      <alignment vertical="top" wrapText="1"/>
    </xf>
    <xf numFmtId="0" fontId="51" fillId="0" borderId="0" xfId="224" applyFont="1" applyFill="1" applyBorder="1" applyAlignment="1">
      <alignment vertical="top" wrapText="1"/>
    </xf>
    <xf numFmtId="0" fontId="56" fillId="0" borderId="0" xfId="224" applyFont="1" applyFill="1" applyBorder="1" applyAlignment="1"/>
    <xf numFmtId="0" fontId="10" fillId="28" borderId="12" xfId="224" applyFont="1" applyFill="1" applyBorder="1" applyAlignment="1">
      <alignment horizontal="left" vertical="top" wrapText="1" indent="1"/>
    </xf>
    <xf numFmtId="0" fontId="10" fillId="0" borderId="0" xfId="224" applyFont="1" applyFill="1" applyBorder="1" applyAlignment="1">
      <alignment horizontal="left" vertical="top" wrapText="1" indent="1"/>
    </xf>
    <xf numFmtId="0" fontId="11" fillId="0" borderId="0" xfId="0" applyFont="1" applyBorder="1"/>
    <xf numFmtId="0" fontId="10" fillId="0" borderId="15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6" fillId="0" borderId="0" xfId="224" applyFont="1"/>
    <xf numFmtId="0" fontId="52" fillId="0" borderId="0" xfId="224" applyFont="1"/>
    <xf numFmtId="0" fontId="4" fillId="0" borderId="0" xfId="224"/>
    <xf numFmtId="0" fontId="11" fillId="0" borderId="0" xfId="224" applyFont="1" applyFill="1" applyBorder="1" applyAlignment="1">
      <alignment horizontal="center" vertical="top" wrapText="1"/>
    </xf>
    <xf numFmtId="0" fontId="8" fillId="0" borderId="0" xfId="224" applyFont="1" applyFill="1" applyBorder="1" applyAlignment="1">
      <alignment vertical="top" wrapText="1"/>
    </xf>
    <xf numFmtId="0" fontId="4" fillId="0" borderId="0" xfId="224" applyFont="1"/>
    <xf numFmtId="0" fontId="4" fillId="0" borderId="0" xfId="224" applyFont="1" applyAlignment="1">
      <alignment vertical="center"/>
    </xf>
    <xf numFmtId="0" fontId="47" fillId="0" borderId="0" xfId="224" applyFont="1" applyAlignment="1">
      <alignment horizontal="center"/>
    </xf>
    <xf numFmtId="0" fontId="8" fillId="0" borderId="12" xfId="224" applyFont="1" applyFill="1" applyBorder="1" applyAlignment="1">
      <alignment horizontal="left" vertical="center" wrapText="1"/>
    </xf>
    <xf numFmtId="0" fontId="10" fillId="0" borderId="22" xfId="224" applyFont="1" applyFill="1" applyBorder="1" applyAlignment="1">
      <alignment horizontal="left" vertical="center" wrapText="1" indent="1"/>
    </xf>
    <xf numFmtId="0" fontId="8" fillId="0" borderId="17" xfId="224" applyFont="1" applyFill="1" applyBorder="1" applyAlignment="1">
      <alignment horizontal="left" vertical="center" wrapText="1"/>
    </xf>
    <xf numFmtId="0" fontId="10" fillId="0" borderId="17" xfId="224" applyFont="1" applyFill="1" applyBorder="1" applyAlignment="1">
      <alignment horizontal="left" vertical="center" wrapText="1"/>
    </xf>
    <xf numFmtId="0" fontId="8" fillId="0" borderId="12" xfId="224" applyFont="1" applyFill="1" applyBorder="1" applyAlignment="1">
      <alignment vertical="center" wrapText="1"/>
    </xf>
    <xf numFmtId="0" fontId="12" fillId="0" borderId="0" xfId="224" applyFont="1"/>
    <xf numFmtId="0" fontId="8" fillId="28" borderId="12" xfId="224" applyFont="1" applyFill="1" applyBorder="1" applyAlignment="1">
      <alignment vertical="center" wrapText="1"/>
    </xf>
    <xf numFmtId="0" fontId="10" fillId="0" borderId="12" xfId="224" applyFont="1" applyFill="1" applyBorder="1" applyAlignment="1">
      <alignment horizontal="left" vertical="center" wrapText="1" indent="1"/>
    </xf>
    <xf numFmtId="0" fontId="8" fillId="0" borderId="0" xfId="224" applyFont="1" applyAlignment="1">
      <alignment horizontal="left"/>
    </xf>
    <xf numFmtId="0" fontId="64" fillId="0" borderId="0" xfId="224" applyFont="1"/>
    <xf numFmtId="0" fontId="11" fillId="0" borderId="7" xfId="224" applyFont="1" applyFill="1" applyBorder="1" applyAlignment="1">
      <alignment horizontal="justify" vertical="center" wrapText="1"/>
    </xf>
    <xf numFmtId="0" fontId="10" fillId="0" borderId="15" xfId="224" applyFont="1" applyBorder="1" applyAlignment="1">
      <alignment horizontal="left" vertical="center" wrapText="1" indent="1"/>
    </xf>
    <xf numFmtId="0" fontId="10" fillId="0" borderId="17" xfId="224" applyFont="1" applyBorder="1" applyAlignment="1">
      <alignment horizontal="left" vertical="center" wrapText="1" indent="1"/>
    </xf>
    <xf numFmtId="0" fontId="10" fillId="0" borderId="0" xfId="224" applyFont="1" applyAlignment="1">
      <alignment horizontal="justify" vertical="center" wrapText="1"/>
    </xf>
    <xf numFmtId="0" fontId="12" fillId="0" borderId="0" xfId="249" applyFont="1" applyAlignment="1">
      <alignment horizontal="left"/>
    </xf>
    <xf numFmtId="0" fontId="4" fillId="0" borderId="0" xfId="249" applyFont="1"/>
    <xf numFmtId="0" fontId="11" fillId="0" borderId="0" xfId="249" applyFont="1" applyFill="1" applyAlignment="1"/>
    <xf numFmtId="0" fontId="11" fillId="0" borderId="12" xfId="249" applyFont="1" applyFill="1" applyBorder="1" applyAlignment="1">
      <alignment horizontal="left" vertical="top" wrapText="1"/>
    </xf>
    <xf numFmtId="0" fontId="4" fillId="0" borderId="0" xfId="249" applyFont="1" applyFill="1"/>
    <xf numFmtId="0" fontId="11" fillId="27" borderId="12" xfId="249" applyFont="1" applyFill="1" applyBorder="1" applyAlignment="1">
      <alignment wrapText="1"/>
    </xf>
    <xf numFmtId="0" fontId="11" fillId="0" borderId="12" xfId="249" applyFont="1" applyBorder="1" applyAlignment="1">
      <alignment horizontal="left" vertical="center" wrapText="1"/>
    </xf>
    <xf numFmtId="0" fontId="11" fillId="0" borderId="18" xfId="249" applyFont="1" applyFill="1" applyBorder="1" applyAlignment="1">
      <alignment horizontal="left" vertical="center" wrapText="1"/>
    </xf>
    <xf numFmtId="0" fontId="10" fillId="0" borderId="0" xfId="249" applyFont="1" applyBorder="1" applyAlignment="1">
      <alignment horizontal="left" vertical="center" wrapText="1" indent="1"/>
    </xf>
    <xf numFmtId="0" fontId="11" fillId="0" borderId="0" xfId="249" applyFont="1" applyBorder="1" applyAlignment="1">
      <alignment vertical="top" wrapText="1"/>
    </xf>
    <xf numFmtId="0" fontId="11" fillId="0" borderId="0" xfId="249" applyFont="1" applyFill="1" applyBorder="1" applyAlignment="1">
      <alignment vertical="top" wrapText="1"/>
    </xf>
    <xf numFmtId="0" fontId="10" fillId="0" borderId="0" xfId="249" applyFont="1" applyFill="1" applyBorder="1" applyAlignment="1">
      <alignment horizontal="left" vertical="top" wrapText="1"/>
    </xf>
    <xf numFmtId="0" fontId="8" fillId="0" borderId="0" xfId="249" applyFont="1" applyFill="1" applyBorder="1" applyAlignment="1">
      <alignment wrapText="1"/>
    </xf>
    <xf numFmtId="0" fontId="10" fillId="0" borderId="0" xfId="249" applyFont="1" applyFill="1" applyBorder="1" applyAlignment="1">
      <alignment horizontal="center" wrapText="1"/>
    </xf>
    <xf numFmtId="0" fontId="11" fillId="0" borderId="0" xfId="224" applyFont="1" applyFill="1" applyAlignment="1"/>
    <xf numFmtId="0" fontId="8" fillId="0" borderId="15" xfId="249" applyFont="1" applyFill="1" applyBorder="1" applyAlignment="1">
      <alignment wrapText="1"/>
    </xf>
    <xf numFmtId="0" fontId="8" fillId="0" borderId="12" xfId="249" applyFont="1" applyFill="1" applyBorder="1" applyAlignment="1">
      <alignment wrapText="1"/>
    </xf>
    <xf numFmtId="0" fontId="10" fillId="0" borderId="0" xfId="237" applyFont="1"/>
    <xf numFmtId="0" fontId="7" fillId="0" borderId="12" xfId="237" applyFont="1" applyFill="1" applyBorder="1" applyAlignment="1">
      <alignment horizontal="left" vertical="top" wrapText="1" indent="1"/>
    </xf>
    <xf numFmtId="0" fontId="5" fillId="0" borderId="12" xfId="237" applyFont="1" applyFill="1" applyBorder="1" applyAlignment="1">
      <alignment horizontal="left" vertical="top" wrapText="1"/>
    </xf>
    <xf numFmtId="0" fontId="7" fillId="0" borderId="17" xfId="237" applyFont="1" applyFill="1" applyBorder="1" applyAlignment="1">
      <alignment horizontal="left" vertical="top" wrapText="1" indent="1"/>
    </xf>
    <xf numFmtId="0" fontId="10" fillId="0" borderId="0" xfId="237" applyFont="1" applyFill="1"/>
    <xf numFmtId="0" fontId="10" fillId="28" borderId="12" xfId="237" applyFont="1" applyFill="1" applyBorder="1" applyAlignment="1">
      <alignment horizontal="left" vertical="top" wrapText="1" indent="1"/>
    </xf>
    <xf numFmtId="0" fontId="10" fillId="28" borderId="17" xfId="224" applyFont="1" applyFill="1" applyBorder="1" applyAlignment="1">
      <alignment horizontal="left" vertical="top" wrapText="1" indent="1"/>
    </xf>
    <xf numFmtId="0" fontId="6" fillId="0" borderId="12" xfId="237" applyFont="1" applyFill="1" applyBorder="1" applyAlignment="1">
      <alignment horizontal="left" vertical="top" wrapText="1" indent="2"/>
    </xf>
    <xf numFmtId="0" fontId="8" fillId="0" borderId="12" xfId="224" applyFont="1" applyFill="1" applyBorder="1" applyAlignment="1">
      <alignment horizontal="left" vertical="top" wrapText="1" indent="2"/>
    </xf>
    <xf numFmtId="0" fontId="8" fillId="0" borderId="12" xfId="224" applyFont="1" applyBorder="1" applyAlignment="1">
      <alignment horizontal="left" vertical="top" wrapText="1" indent="2"/>
    </xf>
    <xf numFmtId="0" fontId="11" fillId="0" borderId="15" xfId="224" applyFont="1" applyFill="1" applyBorder="1" applyAlignment="1">
      <alignment horizontal="left" vertical="center" wrapText="1"/>
    </xf>
    <xf numFmtId="0" fontId="11" fillId="0" borderId="7" xfId="224" applyFont="1" applyFill="1" applyBorder="1" applyAlignment="1">
      <alignment horizontal="left" vertical="center" wrapText="1"/>
    </xf>
    <xf numFmtId="0" fontId="11" fillId="0" borderId="0" xfId="249" applyFont="1" applyAlignment="1">
      <alignment horizontal="left"/>
    </xf>
    <xf numFmtId="0" fontId="8" fillId="28" borderId="17" xfId="224" applyFont="1" applyFill="1" applyBorder="1" applyAlignment="1">
      <alignment horizontal="left" vertical="center" wrapText="1"/>
    </xf>
    <xf numFmtId="0" fontId="8" fillId="28" borderId="12" xfId="224" applyFont="1" applyFill="1" applyBorder="1" applyAlignment="1">
      <alignment horizontal="left" vertical="center" wrapText="1"/>
    </xf>
    <xf numFmtId="0" fontId="10" fillId="0" borderId="16" xfId="224" applyFont="1" applyBorder="1" applyAlignment="1">
      <alignment horizontal="justify" vertical="top" wrapText="1"/>
    </xf>
    <xf numFmtId="0" fontId="10" fillId="0" borderId="16" xfId="224" applyFont="1" applyBorder="1" applyAlignment="1">
      <alignment horizontal="left" vertical="center" wrapText="1" indent="1"/>
    </xf>
    <xf numFmtId="0" fontId="10" fillId="0" borderId="12" xfId="224" applyFont="1" applyBorder="1" applyAlignment="1">
      <alignment horizontal="left" vertical="center" wrapText="1" indent="1"/>
    </xf>
    <xf numFmtId="0" fontId="8" fillId="0" borderId="12" xfId="224" applyFont="1" applyBorder="1" applyAlignment="1">
      <alignment horizontal="left" vertical="center" wrapText="1" indent="3"/>
    </xf>
    <xf numFmtId="0" fontId="10" fillId="28" borderId="12" xfId="224" applyFont="1" applyFill="1" applyBorder="1" applyAlignment="1">
      <alignment horizontal="left" vertical="center" wrapText="1" indent="1"/>
    </xf>
    <xf numFmtId="0" fontId="8" fillId="28" borderId="12" xfId="224" applyFont="1" applyFill="1" applyBorder="1" applyAlignment="1">
      <alignment horizontal="left" vertical="center" wrapText="1" indent="3"/>
    </xf>
    <xf numFmtId="0" fontId="8" fillId="0" borderId="16" xfId="249" applyFont="1" applyFill="1" applyBorder="1" applyAlignment="1">
      <alignment wrapText="1"/>
    </xf>
    <xf numFmtId="0" fontId="11" fillId="0" borderId="0" xfId="0" applyFont="1" applyFill="1" applyAlignment="1">
      <alignment horizontal="left"/>
    </xf>
    <xf numFmtId="0" fontId="7" fillId="0" borderId="0" xfId="224" applyFont="1" applyBorder="1" applyAlignment="1">
      <alignment horizontal="center" vertical="center"/>
    </xf>
    <xf numFmtId="0" fontId="7" fillId="0" borderId="0" xfId="224" applyFont="1" applyBorder="1" applyAlignment="1">
      <alignment horizontal="left" vertical="center"/>
    </xf>
    <xf numFmtId="0" fontId="47" fillId="0" borderId="0" xfId="236" applyFont="1" applyAlignment="1">
      <alignment horizontal="center" vertical="center"/>
    </xf>
    <xf numFmtId="0" fontId="12" fillId="0" borderId="0" xfId="236" applyFont="1" applyAlignment="1">
      <alignment horizontal="left" vertical="center"/>
    </xf>
    <xf numFmtId="0" fontId="11" fillId="0" borderId="7" xfId="236" applyFont="1" applyBorder="1" applyAlignment="1">
      <alignment horizontal="left" vertical="center"/>
    </xf>
    <xf numFmtId="0" fontId="47" fillId="0" borderId="0" xfId="236" applyFont="1" applyAlignment="1">
      <alignment horizontal="left" vertical="center"/>
    </xf>
    <xf numFmtId="0" fontId="10" fillId="0" borderId="7" xfId="0" applyFont="1" applyFill="1" applyBorder="1" applyAlignment="1">
      <alignment horizontal="center" vertical="center" wrapText="1"/>
    </xf>
    <xf numFmtId="0" fontId="11" fillId="0" borderId="7" xfId="224" applyFont="1" applyFill="1" applyBorder="1" applyAlignment="1">
      <alignment vertical="center" wrapText="1"/>
    </xf>
    <xf numFmtId="0" fontId="11" fillId="28" borderId="7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vertical="center" wrapText="1"/>
    </xf>
    <xf numFmtId="0" fontId="11" fillId="27" borderId="12" xfId="0" applyFont="1" applyFill="1" applyBorder="1" applyAlignment="1">
      <alignment vertical="center" wrapText="1"/>
    </xf>
    <xf numFmtId="0" fontId="10" fillId="27" borderId="12" xfId="237" applyFont="1" applyFill="1" applyBorder="1" applyAlignment="1">
      <alignment horizontal="left" vertical="center" wrapText="1" indent="1"/>
    </xf>
    <xf numFmtId="0" fontId="5" fillId="0" borderId="16" xfId="0" applyFont="1" applyBorder="1" applyAlignment="1">
      <alignment horizontal="left" vertical="center" wrapText="1"/>
    </xf>
    <xf numFmtId="0" fontId="10" fillId="27" borderId="17" xfId="224" applyFont="1" applyFill="1" applyBorder="1" applyAlignment="1">
      <alignment horizontal="left" vertical="center" wrapText="1" indent="1"/>
    </xf>
    <xf numFmtId="0" fontId="7" fillId="28" borderId="14" xfId="0" applyFont="1" applyFill="1" applyBorder="1" applyAlignment="1">
      <alignment horizontal="center" vertical="center" wrapText="1"/>
    </xf>
    <xf numFmtId="0" fontId="7" fillId="28" borderId="0" xfId="0" applyFont="1" applyFill="1" applyBorder="1" applyAlignment="1">
      <alignment horizontal="center" vertical="center" wrapText="1"/>
    </xf>
    <xf numFmtId="0" fontId="10" fillId="27" borderId="12" xfId="224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11" fillId="0" borderId="23" xfId="224" applyFont="1" applyFill="1" applyBorder="1" applyAlignment="1">
      <alignment vertical="center" wrapText="1"/>
    </xf>
    <xf numFmtId="0" fontId="11" fillId="27" borderId="12" xfId="249" applyFont="1" applyFill="1" applyBorder="1" applyAlignment="1">
      <alignment vertical="center" wrapText="1"/>
    </xf>
    <xf numFmtId="0" fontId="11" fillId="27" borderId="15" xfId="249" applyFont="1" applyFill="1" applyBorder="1" applyAlignment="1">
      <alignment vertical="center" wrapText="1"/>
    </xf>
    <xf numFmtId="0" fontId="11" fillId="0" borderId="16" xfId="224" applyFont="1" applyFill="1" applyBorder="1" applyAlignment="1">
      <alignment vertical="top" wrapText="1"/>
    </xf>
    <xf numFmtId="0" fontId="5" fillId="0" borderId="24" xfId="0" applyFont="1" applyFill="1" applyBorder="1" applyAlignment="1">
      <alignment vertical="center" wrapText="1"/>
    </xf>
    <xf numFmtId="0" fontId="11" fillId="0" borderId="16" xfId="224" applyFont="1" applyFill="1" applyBorder="1" applyAlignment="1">
      <alignment horizontal="left" vertical="center" wrapText="1"/>
    </xf>
    <xf numFmtId="0" fontId="5" fillId="0" borderId="16" xfId="237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justify" vertical="center" wrapText="1"/>
    </xf>
    <xf numFmtId="0" fontId="8" fillId="27" borderId="12" xfId="0" applyFont="1" applyFill="1" applyBorder="1" applyAlignment="1">
      <alignment horizontal="left" vertical="center" wrapText="1" indent="2"/>
    </xf>
    <xf numFmtId="0" fontId="4" fillId="0" borderId="0" xfId="0" applyFont="1" applyAlignment="1">
      <alignment vertical="center"/>
    </xf>
    <xf numFmtId="0" fontId="4" fillId="0" borderId="0" xfId="237" applyFont="1"/>
    <xf numFmtId="0" fontId="11" fillId="0" borderId="0" xfId="237" applyFont="1" applyBorder="1" applyAlignment="1">
      <alignment horizontal="left"/>
    </xf>
    <xf numFmtId="0" fontId="4" fillId="0" borderId="0" xfId="237" applyFont="1" applyBorder="1"/>
    <xf numFmtId="0" fontId="4" fillId="0" borderId="13" xfId="237" applyFont="1" applyBorder="1"/>
    <xf numFmtId="0" fontId="3" fillId="0" borderId="0" xfId="258" applyFont="1"/>
    <xf numFmtId="0" fontId="11" fillId="28" borderId="12" xfId="224" applyFont="1" applyFill="1" applyBorder="1" applyAlignment="1">
      <alignment horizontal="left" vertical="top" wrapText="1"/>
    </xf>
    <xf numFmtId="0" fontId="8" fillId="28" borderId="0" xfId="224" applyFont="1" applyFill="1" applyBorder="1" applyAlignment="1">
      <alignment vertical="top" wrapText="1"/>
    </xf>
    <xf numFmtId="0" fontId="8" fillId="28" borderId="16" xfId="224" applyFont="1" applyFill="1" applyBorder="1" applyAlignment="1">
      <alignment horizontal="left" vertical="center" wrapText="1"/>
    </xf>
    <xf numFmtId="0" fontId="7" fillId="28" borderId="12" xfId="237" applyFont="1" applyFill="1" applyBorder="1" applyAlignment="1">
      <alignment horizontal="left" vertical="top" wrapText="1" indent="1"/>
    </xf>
    <xf numFmtId="0" fontId="7" fillId="28" borderId="17" xfId="237" applyFont="1" applyFill="1" applyBorder="1" applyAlignment="1">
      <alignment horizontal="left" vertical="top" wrapText="1" indent="1"/>
    </xf>
    <xf numFmtId="0" fontId="7" fillId="28" borderId="17" xfId="0" applyFont="1" applyFill="1" applyBorder="1" applyAlignment="1">
      <alignment horizontal="left" vertical="center" wrapText="1" indent="1"/>
    </xf>
    <xf numFmtId="0" fontId="11" fillId="27" borderId="15" xfId="224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11" fillId="27" borderId="12" xfId="224" applyFont="1" applyFill="1" applyBorder="1" applyAlignment="1">
      <alignment vertical="center" wrapText="1"/>
    </xf>
    <xf numFmtId="0" fontId="8" fillId="28" borderId="17" xfId="0" applyFont="1" applyFill="1" applyBorder="1" applyAlignment="1">
      <alignment vertical="center" wrapText="1"/>
    </xf>
    <xf numFmtId="0" fontId="10" fillId="28" borderId="12" xfId="224" applyFont="1" applyFill="1" applyBorder="1" applyAlignment="1">
      <alignment horizontal="left" vertical="center" wrapText="1"/>
    </xf>
    <xf numFmtId="0" fontId="11" fillId="28" borderId="7" xfId="224" applyFont="1" applyFill="1" applyBorder="1" applyAlignment="1">
      <alignment vertical="center" wrapText="1"/>
    </xf>
    <xf numFmtId="0" fontId="47" fillId="0" borderId="0" xfId="0" applyFont="1" applyAlignment="1">
      <alignment vertical="center"/>
    </xf>
    <xf numFmtId="0" fontId="11" fillId="28" borderId="15" xfId="224" applyFont="1" applyFill="1" applyBorder="1" applyAlignment="1">
      <alignment horizontal="left" vertical="center" wrapText="1"/>
    </xf>
    <xf numFmtId="0" fontId="8" fillId="0" borderId="18" xfId="224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vertical="center" wrapText="1"/>
    </xf>
    <xf numFmtId="0" fontId="11" fillId="28" borderId="12" xfId="0" applyFont="1" applyFill="1" applyBorder="1" applyAlignment="1">
      <alignment vertical="center" wrapText="1"/>
    </xf>
    <xf numFmtId="0" fontId="11" fillId="28" borderId="16" xfId="224" applyFont="1" applyFill="1" applyBorder="1" applyAlignment="1">
      <alignment horizontal="left" vertical="center" wrapText="1"/>
    </xf>
    <xf numFmtId="0" fontId="11" fillId="28" borderId="12" xfId="224" applyFont="1" applyFill="1" applyBorder="1" applyAlignment="1">
      <alignment horizontal="left" vertical="center" wrapText="1"/>
    </xf>
    <xf numFmtId="0" fontId="11" fillId="0" borderId="22" xfId="224" applyFont="1" applyFill="1" applyBorder="1" applyAlignment="1">
      <alignment vertical="center" wrapText="1"/>
    </xf>
    <xf numFmtId="0" fontId="5" fillId="0" borderId="12" xfId="224" applyFont="1" applyBorder="1" applyAlignment="1">
      <alignment vertical="center" wrapText="1"/>
    </xf>
    <xf numFmtId="0" fontId="6" fillId="0" borderId="12" xfId="224" applyFont="1" applyFill="1" applyBorder="1" applyAlignment="1">
      <alignment vertical="center" wrapText="1"/>
    </xf>
    <xf numFmtId="0" fontId="11" fillId="28" borderId="12" xfId="249" applyFont="1" applyFill="1" applyBorder="1" applyAlignment="1">
      <alignment horizontal="left" vertical="center" wrapText="1"/>
    </xf>
    <xf numFmtId="0" fontId="5" fillId="28" borderId="16" xfId="224" applyFont="1" applyFill="1" applyBorder="1" applyAlignment="1">
      <alignment horizontal="left" vertical="center" wrapText="1"/>
    </xf>
    <xf numFmtId="0" fontId="11" fillId="28" borderId="7" xfId="249" applyFont="1" applyFill="1" applyBorder="1" applyAlignment="1">
      <alignment vertical="center" wrapText="1"/>
    </xf>
    <xf numFmtId="0" fontId="5" fillId="28" borderId="12" xfId="224" applyFont="1" applyFill="1" applyBorder="1" applyAlignment="1">
      <alignment horizontal="left" vertical="center" wrapText="1"/>
    </xf>
    <xf numFmtId="0" fontId="11" fillId="0" borderId="7" xfId="249" applyFont="1" applyFill="1" applyBorder="1" applyAlignment="1">
      <alignment horizontal="left" vertical="center" wrapText="1"/>
    </xf>
    <xf numFmtId="0" fontId="4" fillId="0" borderId="0" xfId="249" applyFont="1" applyAlignment="1">
      <alignment vertical="center"/>
    </xf>
    <xf numFmtId="0" fontId="11" fillId="0" borderId="17" xfId="0" applyFont="1" applyFill="1" applyBorder="1" applyAlignment="1">
      <alignment horizontal="left" vertical="center" wrapText="1"/>
    </xf>
    <xf numFmtId="0" fontId="11" fillId="28" borderId="17" xfId="0" applyFont="1" applyFill="1" applyBorder="1" applyAlignment="1">
      <alignment horizontal="left" vertical="center" wrapText="1"/>
    </xf>
    <xf numFmtId="0" fontId="10" fillId="0" borderId="18" xfId="224" applyFont="1" applyFill="1" applyBorder="1" applyAlignment="1">
      <alignment horizontal="left" vertical="center" wrapText="1" indent="1"/>
    </xf>
    <xf numFmtId="0" fontId="7" fillId="27" borderId="18" xfId="0" applyFont="1" applyFill="1" applyBorder="1" applyAlignment="1">
      <alignment horizontal="left" vertical="center" wrapText="1" indent="1"/>
    </xf>
    <xf numFmtId="0" fontId="7" fillId="0" borderId="12" xfId="224" applyFont="1" applyBorder="1" applyAlignment="1">
      <alignment horizontal="left" vertical="center" wrapText="1" indent="1"/>
    </xf>
    <xf numFmtId="0" fontId="8" fillId="0" borderId="15" xfId="249" applyFont="1" applyFill="1" applyBorder="1" applyAlignment="1">
      <alignment vertical="center" wrapText="1"/>
    </xf>
    <xf numFmtId="0" fontId="4" fillId="0" borderId="0" xfId="249" applyFont="1" applyFill="1" applyAlignment="1">
      <alignment vertical="center"/>
    </xf>
    <xf numFmtId="0" fontId="8" fillId="0" borderId="12" xfId="249" applyFont="1" applyBorder="1" applyAlignment="1">
      <alignment vertical="center" wrapText="1"/>
    </xf>
    <xf numFmtId="0" fontId="8" fillId="0" borderId="17" xfId="249" applyFont="1" applyFill="1" applyBorder="1" applyAlignment="1">
      <alignment vertical="center" wrapText="1"/>
    </xf>
    <xf numFmtId="0" fontId="10" fillId="0" borderId="24" xfId="224" applyFont="1" applyBorder="1" applyAlignment="1">
      <alignment horizontal="justify" vertical="center" wrapText="1"/>
    </xf>
    <xf numFmtId="0" fontId="11" fillId="0" borderId="18" xfId="224" applyFont="1" applyFill="1" applyBorder="1" applyAlignment="1">
      <alignment horizontal="left" vertical="center" wrapText="1"/>
    </xf>
    <xf numFmtId="0" fontId="8" fillId="0" borderId="12" xfId="237" applyFont="1" applyFill="1" applyBorder="1" applyAlignment="1">
      <alignment horizontal="justify" vertical="center" wrapText="1"/>
    </xf>
    <xf numFmtId="0" fontId="8" fillId="0" borderId="12" xfId="237" applyFont="1" applyFill="1" applyBorder="1" applyAlignment="1">
      <alignment vertical="center" wrapText="1"/>
    </xf>
    <xf numFmtId="0" fontId="8" fillId="28" borderId="18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10" fillId="0" borderId="18" xfId="224" applyFont="1" applyBorder="1" applyAlignment="1">
      <alignment horizontal="left" vertical="top" wrapText="1" indent="1"/>
    </xf>
    <xf numFmtId="0" fontId="11" fillId="0" borderId="12" xfId="224" applyFont="1" applyFill="1" applyBorder="1" applyAlignment="1">
      <alignment vertical="top" wrapText="1"/>
    </xf>
    <xf numFmtId="0" fontId="10" fillId="28" borderId="25" xfId="224" applyFont="1" applyFill="1" applyBorder="1" applyAlignment="1">
      <alignment horizontal="left" vertical="center" wrapText="1" indent="1"/>
    </xf>
    <xf numFmtId="0" fontId="8" fillId="28" borderId="25" xfId="224" applyFont="1" applyFill="1" applyBorder="1" applyAlignment="1">
      <alignment horizontal="left" vertical="center" wrapText="1"/>
    </xf>
    <xf numFmtId="0" fontId="11" fillId="0" borderId="16" xfId="249" applyFont="1" applyFill="1" applyBorder="1" applyAlignment="1">
      <alignment horizontal="left" vertical="top" wrapText="1"/>
    </xf>
    <xf numFmtId="0" fontId="11" fillId="0" borderId="17" xfId="249" applyFont="1" applyFill="1" applyBorder="1" applyAlignment="1">
      <alignment horizontal="left" vertical="top" wrapText="1"/>
    </xf>
    <xf numFmtId="0" fontId="11" fillId="0" borderId="16" xfId="249" applyFont="1" applyFill="1" applyBorder="1" applyAlignment="1">
      <alignment horizontal="left" vertical="center" wrapText="1"/>
    </xf>
    <xf numFmtId="0" fontId="10" fillId="0" borderId="0" xfId="0" quotePrefix="1" applyFont="1" applyFill="1" applyBorder="1" applyAlignment="1">
      <alignment horizontal="center" vertical="center" wrapText="1"/>
    </xf>
    <xf numFmtId="0" fontId="11" fillId="0" borderId="17" xfId="249" applyFont="1" applyFill="1" applyBorder="1" applyAlignment="1">
      <alignment vertical="center"/>
    </xf>
    <xf numFmtId="0" fontId="5" fillId="0" borderId="0" xfId="224" applyFont="1" applyBorder="1" applyAlignment="1">
      <alignment horizontal="left" vertical="center"/>
    </xf>
    <xf numFmtId="0" fontId="11" fillId="28" borderId="12" xfId="237" applyFont="1" applyFill="1" applyBorder="1" applyAlignment="1">
      <alignment vertical="center" wrapText="1"/>
    </xf>
    <xf numFmtId="0" fontId="11" fillId="28" borderId="18" xfId="237" applyFont="1" applyFill="1" applyBorder="1" applyAlignment="1">
      <alignment vertical="center" wrapText="1"/>
    </xf>
    <xf numFmtId="0" fontId="8" fillId="0" borderId="17" xfId="237" applyFont="1" applyFill="1" applyBorder="1" applyAlignment="1">
      <alignment vertical="center" wrapText="1"/>
    </xf>
    <xf numFmtId="0" fontId="10" fillId="0" borderId="12" xfId="237" applyFont="1" applyBorder="1" applyAlignment="1">
      <alignment horizontal="left" vertical="top" wrapText="1" indent="1"/>
    </xf>
    <xf numFmtId="0" fontId="10" fillId="0" borderId="12" xfId="237" applyFont="1" applyFill="1" applyBorder="1" applyAlignment="1">
      <alignment horizontal="left" vertical="top" wrapText="1" indent="1"/>
    </xf>
    <xf numFmtId="0" fontId="10" fillId="0" borderId="16" xfId="237" applyFont="1" applyFill="1" applyBorder="1" applyAlignment="1">
      <alignment horizontal="left" vertical="top" wrapText="1" indent="1"/>
    </xf>
    <xf numFmtId="0" fontId="10" fillId="0" borderId="25" xfId="224" applyFont="1" applyFill="1" applyBorder="1" applyAlignment="1">
      <alignment horizontal="left" vertical="center" wrapText="1"/>
    </xf>
    <xf numFmtId="0" fontId="10" fillId="0" borderId="19" xfId="224" applyFont="1" applyFill="1" applyBorder="1" applyAlignment="1">
      <alignment horizontal="left" vertical="center" wrapText="1"/>
    </xf>
    <xf numFmtId="0" fontId="8" fillId="28" borderId="19" xfId="224" applyFont="1" applyFill="1" applyBorder="1" applyAlignment="1">
      <alignment horizontal="left" vertical="center" wrapText="1"/>
    </xf>
    <xf numFmtId="0" fontId="8" fillId="0" borderId="15" xfId="224" applyFont="1" applyFill="1" applyBorder="1" applyAlignment="1">
      <alignment horizontal="left" vertical="center" wrapText="1"/>
    </xf>
    <xf numFmtId="0" fontId="8" fillId="0" borderId="25" xfId="224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27" borderId="17" xfId="237" applyFont="1" applyFill="1" applyBorder="1" applyAlignment="1">
      <alignment horizontal="left" vertical="center" wrapText="1" indent="1"/>
    </xf>
    <xf numFmtId="0" fontId="7" fillId="0" borderId="12" xfId="237" applyFont="1" applyFill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12" fillId="0" borderId="0" xfId="237" applyFont="1" applyBorder="1" applyAlignment="1">
      <alignment horizontal="left"/>
    </xf>
    <xf numFmtId="0" fontId="12" fillId="0" borderId="0" xfId="237" applyFont="1" applyAlignment="1">
      <alignment horizontal="left"/>
    </xf>
    <xf numFmtId="0" fontId="12" fillId="0" borderId="0" xfId="224" applyFont="1" applyAlignment="1">
      <alignment horizontal="left"/>
    </xf>
    <xf numFmtId="0" fontId="11" fillId="0" borderId="0" xfId="224" applyFont="1" applyFill="1" applyBorder="1" applyAlignment="1">
      <alignment horizontal="left" vertical="top"/>
    </xf>
    <xf numFmtId="0" fontId="11" fillId="0" borderId="12" xfId="224" applyFont="1" applyFill="1" applyBorder="1" applyAlignment="1">
      <alignment horizontal="left" vertical="center" wrapText="1"/>
    </xf>
    <xf numFmtId="0" fontId="8" fillId="0" borderId="16" xfId="224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11" fillId="28" borderId="7" xfId="224" applyFont="1" applyFill="1" applyBorder="1" applyAlignment="1">
      <alignment horizontal="left" vertical="center" wrapText="1"/>
    </xf>
    <xf numFmtId="0" fontId="8" fillId="28" borderId="7" xfId="224" applyFont="1" applyFill="1" applyBorder="1" applyAlignment="1">
      <alignment horizontal="left" vertical="center" wrapText="1"/>
    </xf>
    <xf numFmtId="0" fontId="7" fillId="28" borderId="0" xfId="224" applyFont="1" applyFill="1" applyBorder="1" applyAlignment="1">
      <alignment horizontal="center" vertical="center" wrapText="1"/>
    </xf>
    <xf numFmtId="0" fontId="11" fillId="28" borderId="15" xfId="237" applyFont="1" applyFill="1" applyBorder="1" applyAlignment="1">
      <alignment horizontal="justify" vertical="top" wrapText="1"/>
    </xf>
    <xf numFmtId="0" fontId="10" fillId="28" borderId="16" xfId="237" applyFont="1" applyFill="1" applyBorder="1" applyAlignment="1">
      <alignment horizontal="left" vertical="top" wrapText="1" indent="1"/>
    </xf>
    <xf numFmtId="0" fontId="11" fillId="28" borderId="12" xfId="237" applyFont="1" applyFill="1" applyBorder="1" applyAlignment="1">
      <alignment horizontal="justify" vertical="top" wrapText="1"/>
    </xf>
    <xf numFmtId="0" fontId="10" fillId="28" borderId="17" xfId="237" applyFont="1" applyFill="1" applyBorder="1" applyAlignment="1">
      <alignment horizontal="justify" vertical="top" wrapText="1"/>
    </xf>
    <xf numFmtId="0" fontId="11" fillId="28" borderId="7" xfId="237" applyFont="1" applyFill="1" applyBorder="1" applyAlignment="1">
      <alignment horizontal="left" vertical="center"/>
    </xf>
    <xf numFmtId="0" fontId="10" fillId="28" borderId="15" xfId="237" applyFont="1" applyFill="1" applyBorder="1"/>
    <xf numFmtId="0" fontId="10" fillId="28" borderId="12" xfId="237" applyFont="1" applyFill="1" applyBorder="1"/>
    <xf numFmtId="0" fontId="10" fillId="28" borderId="17" xfId="237" applyFont="1" applyFill="1" applyBorder="1"/>
    <xf numFmtId="0" fontId="8" fillId="0" borderId="15" xfId="237" applyFont="1" applyFill="1" applyBorder="1" applyAlignment="1">
      <alignment horizontal="justify" vertical="top" wrapText="1"/>
    </xf>
    <xf numFmtId="0" fontId="8" fillId="0" borderId="12" xfId="237" applyFont="1" applyFill="1" applyBorder="1" applyAlignment="1">
      <alignment horizontal="justify" vertical="top" wrapText="1"/>
    </xf>
    <xf numFmtId="0" fontId="8" fillId="0" borderId="16" xfId="237" applyFont="1" applyFill="1" applyBorder="1" applyAlignment="1">
      <alignment horizontal="justify" vertical="top" wrapText="1"/>
    </xf>
    <xf numFmtId="0" fontId="8" fillId="0" borderId="12" xfId="224" applyFont="1" applyFill="1" applyBorder="1" applyAlignment="1">
      <alignment horizontal="left" wrapText="1"/>
    </xf>
    <xf numFmtId="0" fontId="47" fillId="0" borderId="0" xfId="224" applyFont="1" applyFill="1" applyBorder="1" applyAlignment="1"/>
    <xf numFmtId="0" fontId="10" fillId="0" borderId="12" xfId="224" applyFont="1" applyFill="1" applyBorder="1" applyAlignment="1">
      <alignment horizontal="left" vertical="top" wrapText="1"/>
    </xf>
    <xf numFmtId="0" fontId="8" fillId="0" borderId="12" xfId="224" applyFont="1" applyFill="1" applyBorder="1" applyAlignment="1">
      <alignment vertical="top" wrapText="1"/>
    </xf>
    <xf numFmtId="0" fontId="8" fillId="0" borderId="17" xfId="224" applyFont="1" applyFill="1" applyBorder="1" applyAlignment="1">
      <alignment vertical="top" wrapText="1"/>
    </xf>
    <xf numFmtId="0" fontId="7" fillId="0" borderId="7" xfId="224" quotePrefix="1" applyFont="1" applyFill="1" applyBorder="1" applyAlignment="1">
      <alignment horizontal="center" vertical="center" wrapText="1"/>
    </xf>
    <xf numFmtId="0" fontId="10" fillId="0" borderId="0" xfId="224" applyFont="1" applyFill="1" applyBorder="1" applyAlignment="1">
      <alignment horizontal="left" vertical="top" wrapText="1"/>
    </xf>
    <xf numFmtId="0" fontId="8" fillId="28" borderId="0" xfId="224" applyFont="1" applyFill="1" applyBorder="1" applyAlignment="1">
      <alignment horizontal="left" vertical="center" wrapText="1"/>
    </xf>
    <xf numFmtId="0" fontId="11" fillId="0" borderId="16" xfId="224" applyFont="1" applyFill="1" applyBorder="1" applyAlignment="1">
      <alignment wrapText="1"/>
    </xf>
    <xf numFmtId="0" fontId="8" fillId="0" borderId="15" xfId="224" applyFont="1" applyFill="1" applyBorder="1" applyAlignment="1">
      <alignment horizontal="left" wrapText="1"/>
    </xf>
    <xf numFmtId="0" fontId="11" fillId="0" borderId="12" xfId="224" applyFont="1" applyFill="1" applyBorder="1" applyAlignment="1">
      <alignment wrapText="1"/>
    </xf>
    <xf numFmtId="0" fontId="56" fillId="0" borderId="0" xfId="224" applyFont="1" applyAlignment="1">
      <alignment horizontal="center"/>
    </xf>
    <xf numFmtId="0" fontId="48" fillId="0" borderId="0" xfId="224" applyFont="1"/>
    <xf numFmtId="0" fontId="4" fillId="0" borderId="0" xfId="224" applyFont="1" applyAlignment="1">
      <alignment horizontal="center"/>
    </xf>
    <xf numFmtId="0" fontId="4" fillId="0" borderId="0" xfId="224" applyFont="1" applyAlignment="1">
      <alignment horizontal="center" vertical="center"/>
    </xf>
    <xf numFmtId="0" fontId="65" fillId="0" borderId="0" xfId="224" applyFont="1"/>
    <xf numFmtId="0" fontId="51" fillId="0" borderId="0" xfId="224" applyFont="1" applyAlignment="1">
      <alignment horizontal="left"/>
    </xf>
    <xf numFmtId="0" fontId="51" fillId="0" borderId="0" xfId="224" applyFont="1"/>
    <xf numFmtId="0" fontId="5" fillId="0" borderId="0" xfId="224" applyFont="1" applyFill="1" applyBorder="1" applyAlignment="1">
      <alignment horizontal="left" vertical="center" wrapText="1"/>
    </xf>
    <xf numFmtId="0" fontId="6" fillId="0" borderId="0" xfId="224" applyFont="1" applyFill="1" applyBorder="1" applyAlignment="1">
      <alignment horizontal="left" vertical="center" wrapText="1"/>
    </xf>
    <xf numFmtId="0" fontId="48" fillId="0" borderId="0" xfId="224" applyFont="1" applyAlignment="1">
      <alignment horizontal="center"/>
    </xf>
    <xf numFmtId="0" fontId="11" fillId="28" borderId="7" xfId="249" applyFont="1" applyFill="1" applyBorder="1" applyAlignment="1">
      <alignment vertical="top" wrapText="1"/>
    </xf>
    <xf numFmtId="0" fontId="5" fillId="0" borderId="18" xfId="0" applyFont="1" applyFill="1" applyBorder="1" applyAlignment="1">
      <alignment horizontal="justify" vertical="center" wrapText="1"/>
    </xf>
    <xf numFmtId="0" fontId="5" fillId="0" borderId="16" xfId="0" applyFont="1" applyFill="1" applyBorder="1" applyAlignment="1">
      <alignment horizontal="justify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28" borderId="0" xfId="224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57" fillId="0" borderId="0" xfId="0" applyFont="1" applyFill="1" applyBorder="1" applyAlignment="1">
      <alignment horizontal="left" vertical="center" wrapText="1"/>
    </xf>
    <xf numFmtId="0" fontId="11" fillId="28" borderId="16" xfId="0" applyFont="1" applyFill="1" applyBorder="1" applyAlignment="1">
      <alignment vertical="center" wrapText="1"/>
    </xf>
    <xf numFmtId="0" fontId="11" fillId="28" borderId="16" xfId="237" applyFont="1" applyFill="1" applyBorder="1" applyAlignment="1">
      <alignment vertical="center" wrapText="1"/>
    </xf>
    <xf numFmtId="0" fontId="10" fillId="0" borderId="7" xfId="224" applyFont="1" applyFill="1" applyBorder="1" applyAlignment="1">
      <alignment horizontal="left" vertical="center" wrapText="1"/>
    </xf>
    <xf numFmtId="0" fontId="5" fillId="0" borderId="16" xfId="224" applyFont="1" applyFill="1" applyBorder="1" applyAlignment="1">
      <alignment horizontal="left" vertical="center" wrapText="1"/>
    </xf>
    <xf numFmtId="0" fontId="6" fillId="0" borderId="12" xfId="224" applyFont="1" applyFill="1" applyBorder="1" applyAlignment="1">
      <alignment horizontal="left" vertical="center" wrapText="1"/>
    </xf>
    <xf numFmtId="0" fontId="6" fillId="0" borderId="7" xfId="224" applyFont="1" applyFill="1" applyBorder="1" applyAlignment="1">
      <alignment horizontal="left" vertical="center" wrapText="1"/>
    </xf>
    <xf numFmtId="0" fontId="59" fillId="0" borderId="12" xfId="224" applyFont="1" applyFill="1" applyBorder="1" applyAlignment="1">
      <alignment horizontal="left" vertical="center" wrapText="1"/>
    </xf>
    <xf numFmtId="0" fontId="5" fillId="0" borderId="12" xfId="224" applyFont="1" applyFill="1" applyBorder="1" applyAlignment="1">
      <alignment horizontal="left" vertical="center" wrapText="1"/>
    </xf>
    <xf numFmtId="0" fontId="7" fillId="0" borderId="12" xfId="224" applyFont="1" applyFill="1" applyBorder="1" applyAlignment="1">
      <alignment horizontal="left" vertical="center" wrapText="1" indent="1"/>
    </xf>
    <xf numFmtId="0" fontId="5" fillId="0" borderId="7" xfId="224" applyFont="1" applyFill="1" applyBorder="1" applyAlignment="1">
      <alignment horizontal="left" vertical="center" wrapText="1"/>
    </xf>
    <xf numFmtId="0" fontId="5" fillId="0" borderId="17" xfId="224" applyFont="1" applyFill="1" applyBorder="1" applyAlignment="1">
      <alignment horizontal="left" vertical="center" wrapText="1"/>
    </xf>
    <xf numFmtId="0" fontId="5" fillId="0" borderId="18" xfId="224" applyFont="1" applyFill="1" applyBorder="1" applyAlignment="1">
      <alignment horizontal="left" vertical="center" wrapText="1"/>
    </xf>
    <xf numFmtId="0" fontId="11" fillId="0" borderId="17" xfId="224" applyFont="1" applyFill="1" applyBorder="1" applyAlignment="1">
      <alignment horizontal="left" vertical="center" wrapText="1"/>
    </xf>
    <xf numFmtId="0" fontId="5" fillId="0" borderId="7" xfId="224" applyFont="1" applyFill="1" applyBorder="1" applyAlignment="1">
      <alignment vertical="center" wrapText="1"/>
    </xf>
    <xf numFmtId="0" fontId="6" fillId="0" borderId="16" xfId="224" applyFont="1" applyFill="1" applyBorder="1" applyAlignment="1">
      <alignment vertical="center" wrapText="1"/>
    </xf>
    <xf numFmtId="0" fontId="8" fillId="0" borderId="12" xfId="224" applyFont="1" applyFill="1" applyBorder="1" applyAlignment="1">
      <alignment wrapText="1"/>
    </xf>
    <xf numFmtId="0" fontId="5" fillId="0" borderId="7" xfId="224" applyFont="1" applyFill="1" applyBorder="1" applyAlignment="1">
      <alignment horizontal="justify"/>
    </xf>
    <xf numFmtId="0" fontId="8" fillId="0" borderId="7" xfId="224" applyFont="1" applyFill="1" applyBorder="1" applyAlignment="1">
      <alignment horizontal="left" vertical="center" wrapText="1"/>
    </xf>
    <xf numFmtId="0" fontId="11" fillId="0" borderId="0" xfId="249" applyFont="1" applyFill="1" applyBorder="1" applyAlignment="1">
      <alignment horizontal="left" vertical="center" wrapText="1"/>
    </xf>
    <xf numFmtId="0" fontId="11" fillId="0" borderId="0" xfId="224" applyFont="1" applyBorder="1" applyAlignment="1">
      <alignment horizontal="left" vertical="center"/>
    </xf>
    <xf numFmtId="0" fontId="5" fillId="0" borderId="7" xfId="0" applyFont="1" applyFill="1" applyBorder="1" applyAlignment="1">
      <alignment horizontal="justify"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15" xfId="224" applyFont="1" applyFill="1" applyBorder="1" applyAlignment="1">
      <alignment horizontal="justify" vertical="top" wrapText="1"/>
    </xf>
    <xf numFmtId="0" fontId="8" fillId="0" borderId="12" xfId="224" applyFont="1" applyFill="1" applyBorder="1" applyAlignment="1">
      <alignment horizontal="justify" vertical="top" wrapText="1"/>
    </xf>
    <xf numFmtId="0" fontId="8" fillId="0" borderId="17" xfId="224" applyFont="1" applyFill="1" applyBorder="1" applyAlignment="1">
      <alignment horizontal="justify" vertical="top" wrapText="1"/>
    </xf>
    <xf numFmtId="0" fontId="51" fillId="0" borderId="7" xfId="224" applyFont="1" applyFill="1" applyBorder="1" applyAlignment="1">
      <alignment vertical="top" wrapText="1"/>
    </xf>
    <xf numFmtId="0" fontId="10" fillId="0" borderId="27" xfId="224" applyFont="1" applyFill="1" applyBorder="1" applyAlignment="1">
      <alignment horizontal="left" vertical="center" wrapText="1"/>
    </xf>
    <xf numFmtId="0" fontId="8" fillId="0" borderId="0" xfId="224" applyFont="1" applyAlignment="1">
      <alignment horizontal="left" vertical="center"/>
    </xf>
    <xf numFmtId="0" fontId="8" fillId="0" borderId="16" xfId="0" applyFont="1" applyFill="1" applyBorder="1" applyAlignment="1">
      <alignment horizontal="left" vertical="center" wrapText="1"/>
    </xf>
    <xf numFmtId="0" fontId="8" fillId="28" borderId="7" xfId="0" applyFont="1" applyFill="1" applyBorder="1" applyAlignment="1">
      <alignment horizontal="left" vertical="center" wrapText="1"/>
    </xf>
    <xf numFmtId="0" fontId="8" fillId="28" borderId="7" xfId="236" applyFont="1" applyFill="1" applyBorder="1" applyAlignment="1">
      <alignment vertical="center"/>
    </xf>
    <xf numFmtId="0" fontId="8" fillId="0" borderId="7" xfId="237" applyFont="1" applyFill="1" applyBorder="1" applyAlignment="1">
      <alignment vertical="center" wrapText="1"/>
    </xf>
    <xf numFmtId="0" fontId="8" fillId="0" borderId="8" xfId="224" applyFont="1" applyFill="1" applyBorder="1" applyAlignment="1">
      <alignment horizontal="left" vertical="center" wrapText="1"/>
    </xf>
    <xf numFmtId="0" fontId="8" fillId="28" borderId="7" xfId="249" applyFont="1" applyFill="1" applyBorder="1" applyAlignment="1">
      <alignment horizontal="left" vertical="center" wrapText="1"/>
    </xf>
    <xf numFmtId="0" fontId="8" fillId="0" borderId="7" xfId="249" applyFont="1" applyFill="1" applyBorder="1" applyAlignment="1">
      <alignment horizontal="left" vertical="center" wrapText="1"/>
    </xf>
    <xf numFmtId="0" fontId="8" fillId="0" borderId="7" xfId="249" applyFont="1" applyFill="1" applyBorder="1" applyAlignment="1">
      <alignment vertical="center" wrapText="1"/>
    </xf>
    <xf numFmtId="0" fontId="9" fillId="29" borderId="19" xfId="0" applyFont="1" applyFill="1" applyBorder="1" applyAlignment="1">
      <alignment horizontal="center" vertical="center" wrapText="1"/>
    </xf>
    <xf numFmtId="0" fontId="5" fillId="29" borderId="7" xfId="0" applyFont="1" applyFill="1" applyBorder="1" applyAlignment="1">
      <alignment horizontal="center" vertical="center" wrapText="1"/>
    </xf>
    <xf numFmtId="0" fontId="4" fillId="29" borderId="28" xfId="0" applyFont="1" applyFill="1" applyBorder="1" applyAlignment="1">
      <alignment horizontal="center" vertical="center"/>
    </xf>
    <xf numFmtId="0" fontId="9" fillId="29" borderId="24" xfId="0" applyFont="1" applyFill="1" applyBorder="1" applyAlignment="1">
      <alignment horizontal="center" vertical="center" wrapText="1"/>
    </xf>
    <xf numFmtId="0" fontId="10" fillId="29" borderId="15" xfId="0" applyFont="1" applyFill="1" applyBorder="1" applyAlignment="1">
      <alignment horizontal="center" vertical="center" wrapText="1"/>
    </xf>
    <xf numFmtId="0" fontId="10" fillId="29" borderId="12" xfId="0" applyFont="1" applyFill="1" applyBorder="1" applyAlignment="1">
      <alignment horizontal="center" vertical="center" wrapText="1"/>
    </xf>
    <xf numFmtId="0" fontId="10" fillId="29" borderId="18" xfId="0" applyFont="1" applyFill="1" applyBorder="1" applyAlignment="1">
      <alignment horizontal="center" vertical="center" wrapText="1"/>
    </xf>
    <xf numFmtId="0" fontId="7" fillId="29" borderId="12" xfId="0" applyFont="1" applyFill="1" applyBorder="1" applyAlignment="1">
      <alignment horizontal="center" vertical="center" wrapText="1"/>
    </xf>
    <xf numFmtId="0" fontId="7" fillId="29" borderId="18" xfId="0" applyFont="1" applyFill="1" applyBorder="1" applyAlignment="1">
      <alignment horizontal="center" vertical="center" wrapText="1"/>
    </xf>
    <xf numFmtId="0" fontId="7" fillId="29" borderId="7" xfId="0" applyFont="1" applyFill="1" applyBorder="1" applyAlignment="1">
      <alignment horizontal="center" vertical="center" wrapText="1"/>
    </xf>
    <xf numFmtId="0" fontId="5" fillId="29" borderId="19" xfId="0" applyFont="1" applyFill="1" applyBorder="1" applyAlignment="1">
      <alignment horizontal="center" vertical="center" wrapText="1"/>
    </xf>
    <xf numFmtId="0" fontId="10" fillId="29" borderId="16" xfId="0" applyFont="1" applyFill="1" applyBorder="1" applyAlignment="1">
      <alignment horizontal="center" vertical="center" wrapText="1"/>
    </xf>
    <xf numFmtId="0" fontId="7" fillId="29" borderId="12" xfId="0" quotePrefix="1" applyFont="1" applyFill="1" applyBorder="1" applyAlignment="1">
      <alignment horizontal="center" vertical="center" wrapText="1"/>
    </xf>
    <xf numFmtId="0" fontId="5" fillId="29" borderId="29" xfId="0" applyFont="1" applyFill="1" applyBorder="1" applyAlignment="1">
      <alignment horizontal="left" vertical="center" wrapText="1"/>
    </xf>
    <xf numFmtId="0" fontId="5" fillId="29" borderId="30" xfId="0" applyFont="1" applyFill="1" applyBorder="1" applyAlignment="1">
      <alignment horizontal="left" vertical="center" wrapText="1"/>
    </xf>
    <xf numFmtId="0" fontId="7" fillId="29" borderId="19" xfId="0" applyFont="1" applyFill="1" applyBorder="1" applyAlignment="1">
      <alignment horizontal="center" vertical="center" textRotation="90" wrapText="1"/>
    </xf>
    <xf numFmtId="0" fontId="5" fillId="29" borderId="21" xfId="0" applyFont="1" applyFill="1" applyBorder="1" applyAlignment="1">
      <alignment horizontal="center" vertical="center" wrapText="1"/>
    </xf>
    <xf numFmtId="0" fontId="7" fillId="29" borderId="24" xfId="0" applyFont="1" applyFill="1" applyBorder="1" applyAlignment="1">
      <alignment horizontal="center" vertical="center" textRotation="90" wrapText="1"/>
    </xf>
    <xf numFmtId="0" fontId="7" fillId="29" borderId="29" xfId="0" quotePrefix="1" applyFont="1" applyFill="1" applyBorder="1" applyAlignment="1">
      <alignment horizontal="center" vertical="center" wrapText="1"/>
    </xf>
    <xf numFmtId="0" fontId="10" fillId="29" borderId="7" xfId="0" applyFont="1" applyFill="1" applyBorder="1" applyAlignment="1">
      <alignment horizontal="center" vertical="center" wrapText="1"/>
    </xf>
    <xf numFmtId="0" fontId="7" fillId="29" borderId="7" xfId="0" applyFont="1" applyFill="1" applyBorder="1" applyAlignment="1">
      <alignment horizontal="center" vertical="center" wrapText="1"/>
    </xf>
    <xf numFmtId="0" fontId="7" fillId="29" borderId="25" xfId="0" applyFont="1" applyFill="1" applyBorder="1" applyAlignment="1">
      <alignment horizontal="center" vertical="center" wrapText="1"/>
    </xf>
    <xf numFmtId="0" fontId="7" fillId="29" borderId="17" xfId="0" applyFont="1" applyFill="1" applyBorder="1" applyAlignment="1">
      <alignment horizontal="center" vertical="center" wrapText="1"/>
    </xf>
    <xf numFmtId="0" fontId="11" fillId="29" borderId="29" xfId="224" applyFont="1" applyFill="1" applyBorder="1" applyAlignment="1">
      <alignment horizontal="justify" vertical="center" wrapText="1"/>
    </xf>
    <xf numFmtId="0" fontId="51" fillId="29" borderId="19" xfId="224" applyFont="1" applyFill="1" applyBorder="1" applyAlignment="1">
      <alignment horizontal="center" vertical="center" wrapText="1"/>
    </xf>
    <xf numFmtId="0" fontId="11" fillId="29" borderId="7" xfId="224" applyFont="1" applyFill="1" applyBorder="1" applyAlignment="1">
      <alignment horizontal="center" vertical="center" wrapText="1"/>
    </xf>
    <xf numFmtId="0" fontId="64" fillId="29" borderId="28" xfId="224" applyFont="1" applyFill="1" applyBorder="1"/>
    <xf numFmtId="0" fontId="11" fillId="29" borderId="30" xfId="224" applyFont="1" applyFill="1" applyBorder="1" applyAlignment="1">
      <alignment horizontal="justify" vertical="center" wrapText="1"/>
    </xf>
    <xf numFmtId="0" fontId="51" fillId="29" borderId="24" xfId="224" applyFont="1" applyFill="1" applyBorder="1" applyAlignment="1">
      <alignment horizontal="center" vertical="center" wrapText="1"/>
    </xf>
    <xf numFmtId="0" fontId="10" fillId="29" borderId="7" xfId="224" quotePrefix="1" applyFont="1" applyFill="1" applyBorder="1" applyAlignment="1">
      <alignment horizontal="center" vertical="center" wrapText="1"/>
    </xf>
    <xf numFmtId="0" fontId="7" fillId="29" borderId="16" xfId="0" applyFont="1" applyFill="1" applyBorder="1" applyAlignment="1">
      <alignment horizontal="center" vertical="center" wrapText="1"/>
    </xf>
    <xf numFmtId="0" fontId="47" fillId="29" borderId="31" xfId="0" applyFont="1" applyFill="1" applyBorder="1"/>
    <xf numFmtId="0" fontId="11" fillId="29" borderId="29" xfId="224" applyFont="1" applyFill="1" applyBorder="1" applyAlignment="1">
      <alignment vertical="center" wrapText="1"/>
    </xf>
    <xf numFmtId="0" fontId="47" fillId="29" borderId="32" xfId="0" applyFont="1" applyFill="1" applyBorder="1"/>
    <xf numFmtId="0" fontId="11" fillId="29" borderId="33" xfId="224" applyFont="1" applyFill="1" applyBorder="1" applyAlignment="1">
      <alignment horizontal="center" wrapText="1"/>
    </xf>
    <xf numFmtId="0" fontId="51" fillId="29" borderId="25" xfId="224" applyFont="1" applyFill="1" applyBorder="1" applyAlignment="1">
      <alignment horizontal="center" vertical="center" wrapText="1"/>
    </xf>
    <xf numFmtId="0" fontId="8" fillId="29" borderId="19" xfId="0" applyFont="1" applyFill="1" applyBorder="1" applyAlignment="1">
      <alignment horizontal="center" vertical="top" wrapText="1"/>
    </xf>
    <xf numFmtId="0" fontId="47" fillId="29" borderId="28" xfId="0" applyFont="1" applyFill="1" applyBorder="1"/>
    <xf numFmtId="0" fontId="11" fillId="29" borderId="30" xfId="224" applyFont="1" applyFill="1" applyBorder="1" applyAlignment="1">
      <alignment horizontal="center" wrapText="1"/>
    </xf>
    <xf numFmtId="0" fontId="8" fillId="29" borderId="24" xfId="0" applyFont="1" applyFill="1" applyBorder="1" applyAlignment="1">
      <alignment horizontal="center" vertical="center" wrapText="1"/>
    </xf>
    <xf numFmtId="0" fontId="51" fillId="29" borderId="19" xfId="0" applyFont="1" applyFill="1" applyBorder="1" applyAlignment="1">
      <alignment horizontal="center" vertical="center" wrapText="1"/>
    </xf>
    <xf numFmtId="0" fontId="11" fillId="29" borderId="7" xfId="0" applyFont="1" applyFill="1" applyBorder="1" applyAlignment="1">
      <alignment horizontal="center" vertical="center" wrapText="1"/>
    </xf>
    <xf numFmtId="0" fontId="51" fillId="29" borderId="25" xfId="0" applyFont="1" applyFill="1" applyBorder="1" applyAlignment="1">
      <alignment horizontal="center" vertical="center" wrapText="1"/>
    </xf>
    <xf numFmtId="0" fontId="8" fillId="29" borderId="7" xfId="0" applyFont="1" applyFill="1" applyBorder="1" applyAlignment="1">
      <alignment horizontal="center" vertical="center" wrapText="1"/>
    </xf>
    <xf numFmtId="0" fontId="51" fillId="29" borderId="24" xfId="0" applyFont="1" applyFill="1" applyBorder="1" applyAlignment="1">
      <alignment horizontal="center" vertical="center" wrapText="1"/>
    </xf>
    <xf numFmtId="0" fontId="10" fillId="29" borderId="25" xfId="0" applyFont="1" applyFill="1" applyBorder="1" applyAlignment="1">
      <alignment horizontal="center" vertical="center" wrapText="1"/>
    </xf>
    <xf numFmtId="0" fontId="47" fillId="29" borderId="31" xfId="224" applyFont="1" applyFill="1" applyBorder="1"/>
    <xf numFmtId="0" fontId="10" fillId="29" borderId="29" xfId="224" applyFont="1" applyFill="1" applyBorder="1" applyAlignment="1">
      <alignment horizontal="left" vertical="top" wrapText="1" indent="1"/>
    </xf>
    <xf numFmtId="0" fontId="51" fillId="29" borderId="19" xfId="224" applyFont="1" applyFill="1" applyBorder="1" applyAlignment="1">
      <alignment horizontal="center" vertical="top" wrapText="1"/>
    </xf>
    <xf numFmtId="0" fontId="47" fillId="29" borderId="28" xfId="224" applyFont="1" applyFill="1" applyBorder="1"/>
    <xf numFmtId="0" fontId="10" fillId="29" borderId="30" xfId="224" applyFont="1" applyFill="1" applyBorder="1" applyAlignment="1">
      <alignment horizontal="left" vertical="top" wrapText="1" indent="1"/>
    </xf>
    <xf numFmtId="0" fontId="52" fillId="29" borderId="19" xfId="236" applyFont="1" applyFill="1" applyBorder="1"/>
    <xf numFmtId="0" fontId="47" fillId="29" borderId="25" xfId="236" applyFont="1" applyFill="1" applyBorder="1"/>
    <xf numFmtId="0" fontId="47" fillId="29" borderId="24" xfId="236" applyFont="1" applyFill="1" applyBorder="1"/>
    <xf numFmtId="0" fontId="52" fillId="29" borderId="25" xfId="236" applyFont="1" applyFill="1" applyBorder="1"/>
    <xf numFmtId="0" fontId="52" fillId="29" borderId="7" xfId="236" applyFont="1" applyFill="1" applyBorder="1"/>
    <xf numFmtId="0" fontId="10" fillId="29" borderId="15" xfId="224" applyFont="1" applyFill="1" applyBorder="1" applyAlignment="1">
      <alignment horizontal="center" vertical="center" wrapText="1"/>
    </xf>
    <xf numFmtId="0" fontId="10" fillId="29" borderId="16" xfId="224" quotePrefix="1" applyFont="1" applyFill="1" applyBorder="1" applyAlignment="1">
      <alignment horizontal="center" vertical="center" wrapText="1"/>
    </xf>
    <xf numFmtId="0" fontId="10" fillId="29" borderId="12" xfId="224" quotePrefix="1" applyFont="1" applyFill="1" applyBorder="1" applyAlignment="1">
      <alignment horizontal="center" vertical="center" wrapText="1"/>
    </xf>
    <xf numFmtId="0" fontId="10" fillId="29" borderId="18" xfId="224" quotePrefix="1" applyFont="1" applyFill="1" applyBorder="1" applyAlignment="1">
      <alignment horizontal="center" vertical="center" wrapText="1"/>
    </xf>
    <xf numFmtId="0" fontId="10" fillId="29" borderId="7" xfId="236" quotePrefix="1" applyFont="1" applyFill="1" applyBorder="1" applyAlignment="1">
      <alignment horizontal="center" vertical="center"/>
    </xf>
    <xf numFmtId="0" fontId="10" fillId="29" borderId="15" xfId="224" quotePrefix="1" applyFont="1" applyFill="1" applyBorder="1" applyAlignment="1">
      <alignment horizontal="center" vertical="center" wrapText="1"/>
    </xf>
    <xf numFmtId="0" fontId="10" fillId="29" borderId="19" xfId="224" quotePrefix="1" applyFont="1" applyFill="1" applyBorder="1" applyAlignment="1">
      <alignment horizontal="center" vertical="center" wrapText="1"/>
    </xf>
    <xf numFmtId="0" fontId="11" fillId="29" borderId="31" xfId="236" applyFont="1" applyFill="1" applyBorder="1" applyAlignment="1">
      <alignment horizontal="center" vertical="center" wrapText="1"/>
    </xf>
    <xf numFmtId="0" fontId="51" fillId="29" borderId="19" xfId="236" applyFont="1" applyFill="1" applyBorder="1" applyAlignment="1">
      <alignment horizontal="center" vertical="center" wrapText="1"/>
    </xf>
    <xf numFmtId="0" fontId="11" fillId="29" borderId="19" xfId="236" applyFont="1" applyFill="1" applyBorder="1" applyAlignment="1">
      <alignment horizontal="center" vertical="center" wrapText="1"/>
    </xf>
    <xf numFmtId="0" fontId="53" fillId="29" borderId="32" xfId="236" applyFont="1" applyFill="1" applyBorder="1" applyAlignment="1">
      <alignment horizontal="center" vertical="center" wrapText="1"/>
    </xf>
    <xf numFmtId="0" fontId="53" fillId="29" borderId="0" xfId="236" applyFont="1" applyFill="1" applyBorder="1" applyAlignment="1">
      <alignment horizontal="left" vertical="center" wrapText="1"/>
    </xf>
    <xf numFmtId="0" fontId="51" fillId="29" borderId="25" xfId="236" applyFont="1" applyFill="1" applyBorder="1" applyAlignment="1">
      <alignment horizontal="center" vertical="center" wrapText="1"/>
    </xf>
    <xf numFmtId="0" fontId="8" fillId="29" borderId="7" xfId="236" applyFont="1" applyFill="1" applyBorder="1" applyAlignment="1">
      <alignment horizontal="center" vertical="center" wrapText="1"/>
    </xf>
    <xf numFmtId="0" fontId="53" fillId="29" borderId="28" xfId="236" applyFont="1" applyFill="1" applyBorder="1" applyAlignment="1">
      <alignment horizontal="center" vertical="center" wrapText="1"/>
    </xf>
    <xf numFmtId="0" fontId="53" fillId="29" borderId="13" xfId="236" applyFont="1" applyFill="1" applyBorder="1" applyAlignment="1">
      <alignment horizontal="left" vertical="center" wrapText="1"/>
    </xf>
    <xf numFmtId="0" fontId="8" fillId="29" borderId="25" xfId="236" applyFont="1" applyFill="1" applyBorder="1" applyAlignment="1">
      <alignment horizontal="center" vertical="center" wrapText="1"/>
    </xf>
    <xf numFmtId="0" fontId="10" fillId="29" borderId="19" xfId="236" quotePrefix="1" applyFont="1" applyFill="1" applyBorder="1" applyAlignment="1">
      <alignment horizontal="center" vertical="center" wrapText="1"/>
    </xf>
    <xf numFmtId="0" fontId="7" fillId="29" borderId="16" xfId="224" applyFont="1" applyFill="1" applyBorder="1" applyAlignment="1">
      <alignment horizontal="center" vertical="center" wrapText="1"/>
    </xf>
    <xf numFmtId="0" fontId="7" fillId="29" borderId="12" xfId="224" applyFont="1" applyFill="1" applyBorder="1" applyAlignment="1">
      <alignment horizontal="center" vertical="center" wrapText="1"/>
    </xf>
    <xf numFmtId="0" fontId="7" fillId="29" borderId="7" xfId="224" applyFont="1" applyFill="1" applyBorder="1" applyAlignment="1">
      <alignment horizontal="center" vertical="center" wrapText="1"/>
    </xf>
    <xf numFmtId="0" fontId="12" fillId="29" borderId="14" xfId="236" applyFont="1" applyFill="1" applyBorder="1" applyAlignment="1">
      <alignment horizontal="left"/>
    </xf>
    <xf numFmtId="0" fontId="10" fillId="29" borderId="32" xfId="224" applyFont="1" applyFill="1" applyBorder="1"/>
    <xf numFmtId="0" fontId="10" fillId="29" borderId="33" xfId="224" applyFont="1" applyFill="1" applyBorder="1" applyAlignment="1">
      <alignment horizontal="left" wrapText="1" indent="1"/>
    </xf>
    <xf numFmtId="0" fontId="10" fillId="29" borderId="25" xfId="224" applyFont="1" applyFill="1" applyBorder="1" applyAlignment="1">
      <alignment horizontal="left" wrapText="1" indent="1"/>
    </xf>
    <xf numFmtId="0" fontId="11" fillId="29" borderId="7" xfId="224" applyFont="1" applyFill="1" applyBorder="1" applyAlignment="1">
      <alignment horizontal="center" vertical="center" wrapText="1"/>
    </xf>
    <xf numFmtId="0" fontId="51" fillId="29" borderId="33" xfId="224" applyFont="1" applyFill="1" applyBorder="1" applyAlignment="1">
      <alignment horizontal="center" wrapText="1"/>
    </xf>
    <xf numFmtId="0" fontId="10" fillId="29" borderId="28" xfId="224" applyFont="1" applyFill="1" applyBorder="1"/>
    <xf numFmtId="0" fontId="10" fillId="29" borderId="30" xfId="224" applyFont="1" applyFill="1" applyBorder="1" applyAlignment="1">
      <alignment horizontal="left" wrapText="1" indent="1"/>
    </xf>
    <xf numFmtId="0" fontId="10" fillId="29" borderId="7" xfId="224" quotePrefix="1" applyFont="1" applyFill="1" applyBorder="1" applyAlignment="1">
      <alignment horizontal="center" vertical="center" wrapText="1"/>
    </xf>
    <xf numFmtId="0" fontId="10" fillId="29" borderId="29" xfId="0" applyFont="1" applyFill="1" applyBorder="1" applyAlignment="1">
      <alignment horizontal="center" wrapText="1"/>
    </xf>
    <xf numFmtId="0" fontId="10" fillId="29" borderId="33" xfId="0" applyFont="1" applyFill="1" applyBorder="1" applyAlignment="1">
      <alignment horizontal="center" wrapText="1"/>
    </xf>
    <xf numFmtId="0" fontId="9" fillId="29" borderId="33" xfId="0" applyFont="1" applyFill="1" applyBorder="1" applyAlignment="1">
      <alignment horizontal="center" vertical="center" wrapText="1"/>
    </xf>
    <xf numFmtId="0" fontId="9" fillId="29" borderId="25" xfId="0" applyFont="1" applyFill="1" applyBorder="1" applyAlignment="1">
      <alignment horizontal="center" vertical="center" wrapText="1"/>
    </xf>
    <xf numFmtId="0" fontId="9" fillId="29" borderId="30" xfId="0" applyFont="1" applyFill="1" applyBorder="1" applyAlignment="1">
      <alignment horizontal="center" vertical="center" wrapText="1"/>
    </xf>
    <xf numFmtId="0" fontId="10" fillId="29" borderId="7" xfId="0" quotePrefix="1" applyFont="1" applyFill="1" applyBorder="1" applyAlignment="1">
      <alignment horizontal="center" vertical="center" wrapText="1"/>
    </xf>
    <xf numFmtId="0" fontId="10" fillId="29" borderId="19" xfId="0" quotePrefix="1" applyFont="1" applyFill="1" applyBorder="1" applyAlignment="1">
      <alignment horizontal="center" vertical="center" wrapText="1"/>
    </xf>
    <xf numFmtId="0" fontId="10" fillId="29" borderId="17" xfId="224" applyFont="1" applyFill="1" applyBorder="1" applyAlignment="1">
      <alignment horizontal="center" vertical="center" wrapText="1"/>
    </xf>
    <xf numFmtId="0" fontId="11" fillId="29" borderId="19" xfId="0" applyFont="1" applyFill="1" applyBorder="1" applyAlignment="1">
      <alignment horizontal="center" vertical="center" wrapText="1"/>
    </xf>
    <xf numFmtId="0" fontId="56" fillId="29" borderId="32" xfId="0" applyFont="1" applyFill="1" applyBorder="1"/>
    <xf numFmtId="0" fontId="56" fillId="29" borderId="28" xfId="0" applyFont="1" applyFill="1" applyBorder="1"/>
    <xf numFmtId="0" fontId="10" fillId="29" borderId="7" xfId="0" quotePrefix="1" applyFont="1" applyFill="1" applyBorder="1" applyAlignment="1">
      <alignment horizontal="center" vertical="center" wrapText="1"/>
    </xf>
    <xf numFmtId="0" fontId="4" fillId="29" borderId="31" xfId="224" applyFont="1" applyFill="1" applyBorder="1"/>
    <xf numFmtId="0" fontId="4" fillId="29" borderId="32" xfId="224" applyFont="1" applyFill="1" applyBorder="1"/>
    <xf numFmtId="0" fontId="4" fillId="29" borderId="28" xfId="224" applyFont="1" applyFill="1" applyBorder="1"/>
    <xf numFmtId="0" fontId="10" fillId="29" borderId="30" xfId="0" applyFont="1" applyFill="1" applyBorder="1" applyAlignment="1">
      <alignment wrapText="1"/>
    </xf>
    <xf numFmtId="0" fontId="5" fillId="29" borderId="30" xfId="0" applyFont="1" applyFill="1" applyBorder="1" applyAlignment="1">
      <alignment horizontal="center" wrapText="1"/>
    </xf>
    <xf numFmtId="0" fontId="7" fillId="29" borderId="31" xfId="0" applyFont="1" applyFill="1" applyBorder="1" applyAlignment="1">
      <alignment horizontal="center" vertical="center" wrapText="1"/>
    </xf>
    <xf numFmtId="0" fontId="7" fillId="29" borderId="32" xfId="0" applyFont="1" applyFill="1" applyBorder="1" applyAlignment="1">
      <alignment horizontal="center" vertical="center" wrapText="1"/>
    </xf>
    <xf numFmtId="0" fontId="7" fillId="29" borderId="28" xfId="0" applyFont="1" applyFill="1" applyBorder="1" applyAlignment="1">
      <alignment horizontal="center" vertical="center" wrapText="1"/>
    </xf>
    <xf numFmtId="0" fontId="10" fillId="29" borderId="7" xfId="0" quotePrefix="1" applyFont="1" applyFill="1" applyBorder="1" applyAlignment="1">
      <alignment horizontal="center" wrapText="1"/>
    </xf>
    <xf numFmtId="0" fontId="4" fillId="29" borderId="32" xfId="237" applyFont="1" applyFill="1" applyBorder="1"/>
    <xf numFmtId="0" fontId="11" fillId="29" borderId="33" xfId="237" applyFont="1" applyFill="1" applyBorder="1" applyAlignment="1">
      <alignment vertical="center" wrapText="1"/>
    </xf>
    <xf numFmtId="0" fontId="8" fillId="29" borderId="19" xfId="237" applyFont="1" applyFill="1" applyBorder="1" applyAlignment="1">
      <alignment horizontal="center" vertical="center" wrapText="1"/>
    </xf>
    <xf numFmtId="0" fontId="8" fillId="29" borderId="29" xfId="237" applyFont="1" applyFill="1" applyBorder="1" applyAlignment="1">
      <alignment horizontal="center" vertical="center" wrapText="1"/>
    </xf>
    <xf numFmtId="0" fontId="4" fillId="29" borderId="28" xfId="237" applyFont="1" applyFill="1" applyBorder="1"/>
    <xf numFmtId="0" fontId="4" fillId="29" borderId="33" xfId="0" applyFont="1" applyFill="1" applyBorder="1" applyAlignment="1">
      <alignment vertical="center" wrapText="1"/>
    </xf>
    <xf numFmtId="0" fontId="10" fillId="29" borderId="19" xfId="237" quotePrefix="1" applyFont="1" applyFill="1" applyBorder="1" applyAlignment="1">
      <alignment horizontal="center" vertical="center" wrapText="1"/>
    </xf>
    <xf numFmtId="0" fontId="10" fillId="29" borderId="29" xfId="237" quotePrefix="1" applyFont="1" applyFill="1" applyBorder="1" applyAlignment="1">
      <alignment horizontal="center" vertical="center" wrapText="1"/>
    </xf>
    <xf numFmtId="0" fontId="7" fillId="29" borderId="16" xfId="0" quotePrefix="1" applyFont="1" applyFill="1" applyBorder="1" applyAlignment="1">
      <alignment horizontal="center" vertical="center" wrapText="1"/>
    </xf>
    <xf numFmtId="0" fontId="47" fillId="29" borderId="31" xfId="237" applyFont="1" applyFill="1" applyBorder="1"/>
    <xf numFmtId="0" fontId="51" fillId="29" borderId="19" xfId="237" applyFont="1" applyFill="1" applyBorder="1" applyAlignment="1">
      <alignment horizontal="center" vertical="center" wrapText="1"/>
    </xf>
    <xf numFmtId="0" fontId="47" fillId="29" borderId="32" xfId="237" applyFont="1" applyFill="1" applyBorder="1"/>
    <xf numFmtId="0" fontId="51" fillId="29" borderId="25" xfId="237" applyFont="1" applyFill="1" applyBorder="1" applyAlignment="1">
      <alignment horizontal="center" vertical="center" wrapText="1"/>
    </xf>
    <xf numFmtId="0" fontId="8" fillId="29" borderId="25" xfId="237" applyFont="1" applyFill="1" applyBorder="1" applyAlignment="1">
      <alignment horizontal="center" vertical="center" wrapText="1"/>
    </xf>
    <xf numFmtId="0" fontId="8" fillId="29" borderId="7" xfId="237" applyFont="1" applyFill="1" applyBorder="1" applyAlignment="1">
      <alignment horizontal="center" vertical="center" wrapText="1"/>
    </xf>
    <xf numFmtId="0" fontId="47" fillId="29" borderId="28" xfId="237" applyFont="1" applyFill="1" applyBorder="1"/>
    <xf numFmtId="0" fontId="11" fillId="29" borderId="30" xfId="237" applyFont="1" applyFill="1" applyBorder="1" applyAlignment="1">
      <alignment horizontal="left" vertical="center" wrapText="1"/>
    </xf>
    <xf numFmtId="0" fontId="51" fillId="29" borderId="24" xfId="237" applyFont="1" applyFill="1" applyBorder="1" applyAlignment="1">
      <alignment horizontal="center" vertical="center" wrapText="1"/>
    </xf>
    <xf numFmtId="0" fontId="7" fillId="29" borderId="18" xfId="224" applyFont="1" applyFill="1" applyBorder="1" applyAlignment="1">
      <alignment horizontal="center" vertical="center" wrapText="1"/>
    </xf>
    <xf numFmtId="0" fontId="7" fillId="29" borderId="17" xfId="224" applyFont="1" applyFill="1" applyBorder="1" applyAlignment="1">
      <alignment horizontal="center" vertical="center" wrapText="1"/>
    </xf>
    <xf numFmtId="0" fontId="11" fillId="29" borderId="29" xfId="224" applyFont="1" applyFill="1" applyBorder="1" applyAlignment="1">
      <alignment wrapText="1"/>
    </xf>
    <xf numFmtId="0" fontId="10" fillId="29" borderId="32" xfId="224" applyFont="1" applyFill="1" applyBorder="1" applyAlignment="1">
      <alignment horizontal="justify"/>
    </xf>
    <xf numFmtId="0" fontId="8" fillId="29" borderId="33" xfId="224" applyFont="1" applyFill="1" applyBorder="1" applyAlignment="1">
      <alignment horizontal="center" vertical="top" wrapText="1"/>
    </xf>
    <xf numFmtId="0" fontId="51" fillId="29" borderId="25" xfId="224" applyFont="1" applyFill="1" applyBorder="1" applyAlignment="1">
      <alignment horizontal="center" textRotation="90" wrapText="1"/>
    </xf>
    <xf numFmtId="0" fontId="11" fillId="29" borderId="7" xfId="224" applyFont="1" applyFill="1" applyBorder="1" applyAlignment="1">
      <alignment horizontal="center" textRotation="90" wrapText="1"/>
    </xf>
    <xf numFmtId="0" fontId="10" fillId="29" borderId="28" xfId="224" applyFont="1" applyFill="1" applyBorder="1" applyAlignment="1">
      <alignment horizontal="justify"/>
    </xf>
    <xf numFmtId="0" fontId="8" fillId="29" borderId="30" xfId="224" applyFont="1" applyFill="1" applyBorder="1" applyAlignment="1">
      <alignment horizontal="center" vertical="top" wrapText="1"/>
    </xf>
    <xf numFmtId="0" fontId="51" fillId="29" borderId="24" xfId="224" applyFont="1" applyFill="1" applyBorder="1" applyAlignment="1">
      <alignment horizontal="center" textRotation="90" wrapText="1"/>
    </xf>
    <xf numFmtId="0" fontId="7" fillId="29" borderId="25" xfId="224" quotePrefix="1" applyFont="1" applyFill="1" applyBorder="1" applyAlignment="1">
      <alignment horizontal="center" vertical="center" wrapText="1"/>
    </xf>
    <xf numFmtId="0" fontId="7" fillId="29" borderId="32" xfId="224" quotePrefix="1" applyFont="1" applyFill="1" applyBorder="1" applyAlignment="1">
      <alignment horizontal="center" vertical="center" wrapText="1"/>
    </xf>
    <xf numFmtId="0" fontId="47" fillId="29" borderId="32" xfId="224" applyFont="1" applyFill="1" applyBorder="1"/>
    <xf numFmtId="0" fontId="8" fillId="29" borderId="25" xfId="224" applyFont="1" applyFill="1" applyBorder="1" applyAlignment="1">
      <alignment horizontal="center" vertical="center" wrapText="1"/>
    </xf>
    <xf numFmtId="0" fontId="11" fillId="29" borderId="30" xfId="224" applyFont="1" applyFill="1" applyBorder="1" applyAlignment="1">
      <alignment horizontal="center" vertical="center" wrapText="1"/>
    </xf>
    <xf numFmtId="0" fontId="8" fillId="29" borderId="24" xfId="224" applyFont="1" applyFill="1" applyBorder="1" applyAlignment="1">
      <alignment horizontal="center" vertical="center" wrapText="1"/>
    </xf>
    <xf numFmtId="0" fontId="7" fillId="29" borderId="17" xfId="224" quotePrefix="1" applyFont="1" applyFill="1" applyBorder="1" applyAlignment="1">
      <alignment horizontal="center" vertical="center" wrapText="1"/>
    </xf>
    <xf numFmtId="0" fontId="10" fillId="29" borderId="29" xfId="224" applyFont="1" applyFill="1" applyBorder="1" applyAlignment="1">
      <alignment horizontal="justify" vertical="top" wrapText="1"/>
    </xf>
    <xf numFmtId="0" fontId="11" fillId="29" borderId="7" xfId="224" applyFont="1" applyFill="1" applyBorder="1" applyAlignment="1">
      <alignment horizontal="center" vertical="top" wrapText="1"/>
    </xf>
    <xf numFmtId="0" fontId="10" fillId="29" borderId="30" xfId="224" applyFont="1" applyFill="1" applyBorder="1" applyAlignment="1">
      <alignment horizontal="justify" vertical="top" wrapText="1"/>
    </xf>
    <xf numFmtId="0" fontId="115" fillId="29" borderId="24" xfId="224" applyFont="1" applyFill="1" applyBorder="1" applyAlignment="1">
      <alignment horizontal="center" vertical="top" wrapText="1"/>
    </xf>
    <xf numFmtId="0" fontId="7" fillId="29" borderId="18" xfId="224" quotePrefix="1" applyFont="1" applyFill="1" applyBorder="1" applyAlignment="1">
      <alignment horizontal="center" vertical="center" wrapText="1"/>
    </xf>
    <xf numFmtId="0" fontId="7" fillId="29" borderId="7" xfId="224" quotePrefix="1" applyFont="1" applyFill="1" applyBorder="1" applyAlignment="1">
      <alignment horizontal="center" vertical="center" wrapText="1"/>
    </xf>
    <xf numFmtId="0" fontId="11" fillId="29" borderId="29" xfId="0" applyFont="1" applyFill="1" applyBorder="1" applyAlignment="1">
      <alignment wrapText="1"/>
    </xf>
    <xf numFmtId="0" fontId="11" fillId="29" borderId="33" xfId="0" applyFont="1" applyFill="1" applyBorder="1" applyAlignment="1">
      <alignment wrapText="1"/>
    </xf>
    <xf numFmtId="0" fontId="11" fillId="29" borderId="21" xfId="0" applyFont="1" applyFill="1" applyBorder="1" applyAlignment="1">
      <alignment horizontal="center" vertical="center" wrapText="1"/>
    </xf>
    <xf numFmtId="0" fontId="8" fillId="29" borderId="19" xfId="0" applyFont="1" applyFill="1" applyBorder="1" applyAlignment="1">
      <alignment horizontal="center" vertical="center" wrapText="1"/>
    </xf>
    <xf numFmtId="0" fontId="8" fillId="29" borderId="21" xfId="0" applyFont="1" applyFill="1" applyBorder="1" applyAlignment="1">
      <alignment horizontal="center" vertical="center" wrapText="1"/>
    </xf>
    <xf numFmtId="0" fontId="47" fillId="29" borderId="0" xfId="0" applyFont="1" applyFill="1"/>
    <xf numFmtId="0" fontId="51" fillId="29" borderId="24" xfId="0" applyFont="1" applyFill="1" applyBorder="1" applyAlignment="1">
      <alignment vertical="center" wrapText="1"/>
    </xf>
    <xf numFmtId="0" fontId="10" fillId="29" borderId="21" xfId="0" quotePrefix="1" applyFont="1" applyFill="1" applyBorder="1" applyAlignment="1">
      <alignment horizontal="center" vertical="center" wrapText="1"/>
    </xf>
    <xf numFmtId="0" fontId="47" fillId="29" borderId="8" xfId="0" applyFont="1" applyFill="1" applyBorder="1"/>
    <xf numFmtId="0" fontId="11" fillId="29" borderId="21" xfId="0" applyFont="1" applyFill="1" applyBorder="1" applyAlignment="1">
      <alignment horizontal="left" wrapText="1"/>
    </xf>
    <xf numFmtId="0" fontId="51" fillId="29" borderId="7" xfId="0" applyFont="1" applyFill="1" applyBorder="1" applyAlignment="1">
      <alignment vertical="center" wrapText="1"/>
    </xf>
    <xf numFmtId="0" fontId="10" fillId="29" borderId="29" xfId="0" quotePrefix="1" applyFont="1" applyFill="1" applyBorder="1" applyAlignment="1">
      <alignment horizontal="center" vertical="center" wrapText="1"/>
    </xf>
    <xf numFmtId="0" fontId="47" fillId="29" borderId="8" xfId="0" applyFont="1" applyFill="1" applyBorder="1" applyAlignment="1">
      <alignment vertical="center"/>
    </xf>
    <xf numFmtId="0" fontId="11" fillId="29" borderId="21" xfId="0" applyFont="1" applyFill="1" applyBorder="1" applyAlignment="1">
      <alignment horizontal="left" vertical="center" wrapText="1"/>
    </xf>
    <xf numFmtId="0" fontId="51" fillId="29" borderId="7" xfId="0" applyFont="1" applyFill="1" applyBorder="1" applyAlignment="1">
      <alignment horizontal="left" vertical="center" wrapText="1"/>
    </xf>
    <xf numFmtId="43" fontId="11" fillId="29" borderId="7" xfId="215" applyFont="1" applyFill="1" applyBorder="1" applyAlignment="1">
      <alignment horizontal="center" vertical="center" wrapText="1"/>
    </xf>
    <xf numFmtId="0" fontId="4" fillId="29" borderId="33" xfId="224" applyFont="1" applyFill="1" applyBorder="1" applyAlignment="1">
      <alignment horizontal="center" vertical="center" wrapText="1"/>
    </xf>
    <xf numFmtId="0" fontId="53" fillId="29" borderId="7" xfId="224" applyFont="1" applyFill="1" applyBorder="1" applyAlignment="1">
      <alignment horizontal="center" vertical="center" wrapText="1"/>
    </xf>
    <xf numFmtId="0" fontId="8" fillId="29" borderId="30" xfId="224" applyFont="1" applyFill="1" applyBorder="1" applyAlignment="1">
      <alignment horizontal="center" vertical="center" wrapText="1"/>
    </xf>
    <xf numFmtId="0" fontId="7" fillId="29" borderId="19" xfId="224" quotePrefix="1" applyFont="1" applyFill="1" applyBorder="1" applyAlignment="1">
      <alignment horizontal="center" vertical="center" wrapText="1"/>
    </xf>
    <xf numFmtId="0" fontId="4" fillId="29" borderId="31" xfId="249" applyFont="1" applyFill="1" applyBorder="1"/>
    <xf numFmtId="0" fontId="58" fillId="29" borderId="29" xfId="249" applyFont="1" applyFill="1" applyBorder="1" applyAlignment="1">
      <alignment wrapText="1"/>
    </xf>
    <xf numFmtId="0" fontId="11" fillId="29" borderId="7" xfId="249" applyFont="1" applyFill="1" applyBorder="1" applyAlignment="1">
      <alignment horizontal="center" vertical="top" wrapText="1"/>
    </xf>
    <xf numFmtId="0" fontId="4" fillId="29" borderId="32" xfId="249" applyFont="1" applyFill="1" applyBorder="1"/>
    <xf numFmtId="0" fontId="11" fillId="29" borderId="33" xfId="249" applyFont="1" applyFill="1" applyBorder="1" applyAlignment="1">
      <alignment wrapText="1"/>
    </xf>
    <xf numFmtId="0" fontId="8" fillId="29" borderId="18" xfId="249" applyFont="1" applyFill="1" applyBorder="1" applyAlignment="1">
      <alignment horizontal="center" vertical="center" wrapText="1"/>
    </xf>
    <xf numFmtId="0" fontId="4" fillId="29" borderId="28" xfId="249" applyFont="1" applyFill="1" applyBorder="1"/>
    <xf numFmtId="0" fontId="11" fillId="29" borderId="30" xfId="249" applyFont="1" applyFill="1" applyBorder="1" applyAlignment="1">
      <alignment wrapText="1"/>
    </xf>
    <xf numFmtId="0" fontId="4" fillId="29" borderId="24" xfId="0" applyFont="1" applyFill="1" applyBorder="1" applyAlignment="1">
      <alignment horizontal="center" wrapText="1"/>
    </xf>
    <xf numFmtId="0" fontId="10" fillId="29" borderId="7" xfId="249" quotePrefix="1" applyFont="1" applyFill="1" applyBorder="1" applyAlignment="1">
      <alignment horizontal="center" vertical="top" wrapText="1"/>
    </xf>
    <xf numFmtId="0" fontId="10" fillId="29" borderId="7" xfId="249" applyFont="1" applyFill="1" applyBorder="1" applyAlignment="1">
      <alignment horizontal="center" vertical="top" wrapText="1"/>
    </xf>
    <xf numFmtId="0" fontId="58" fillId="29" borderId="29" xfId="249" applyFont="1" applyFill="1" applyBorder="1" applyAlignment="1">
      <alignment horizontal="left" vertical="center" wrapText="1"/>
    </xf>
    <xf numFmtId="0" fontId="58" fillId="29" borderId="30" xfId="249" applyFont="1" applyFill="1" applyBorder="1" applyAlignment="1">
      <alignment horizontal="left" vertical="center" wrapText="1"/>
    </xf>
    <xf numFmtId="0" fontId="58" fillId="29" borderId="29" xfId="224" applyFont="1" applyFill="1" applyBorder="1" applyAlignment="1">
      <alignment vertical="center" wrapText="1"/>
    </xf>
    <xf numFmtId="0" fontId="58" fillId="29" borderId="33" xfId="224" applyFont="1" applyFill="1" applyBorder="1" applyAlignment="1">
      <alignment vertical="center" wrapText="1"/>
    </xf>
    <xf numFmtId="0" fontId="58" fillId="29" borderId="30" xfId="224" applyFont="1" applyFill="1" applyBorder="1" applyAlignment="1">
      <alignment vertical="center" wrapText="1"/>
    </xf>
    <xf numFmtId="0" fontId="10" fillId="29" borderId="19" xfId="249" quotePrefix="1" applyFont="1" applyFill="1" applyBorder="1" applyAlignment="1">
      <alignment horizontal="center" vertical="center" wrapText="1"/>
    </xf>
    <xf numFmtId="0" fontId="58" fillId="29" borderId="29" xfId="249" applyFont="1" applyFill="1" applyBorder="1" applyAlignment="1">
      <alignment vertical="center" wrapText="1"/>
    </xf>
    <xf numFmtId="0" fontId="58" fillId="29" borderId="33" xfId="249" applyFont="1" applyFill="1" applyBorder="1" applyAlignment="1">
      <alignment vertical="center" wrapText="1"/>
    </xf>
    <xf numFmtId="0" fontId="58" fillId="29" borderId="30" xfId="249" applyFont="1" applyFill="1" applyBorder="1" applyAlignment="1">
      <alignment vertical="center" wrapText="1"/>
    </xf>
    <xf numFmtId="0" fontId="9" fillId="29" borderId="16" xfId="0" applyFont="1" applyFill="1" applyBorder="1" applyAlignment="1">
      <alignment horizontal="center" vertical="center" wrapText="1"/>
    </xf>
    <xf numFmtId="0" fontId="10" fillId="29" borderId="17" xfId="0" applyFont="1" applyFill="1" applyBorder="1" applyAlignment="1">
      <alignment horizontal="center" vertical="center" wrapText="1"/>
    </xf>
    <xf numFmtId="0" fontId="11" fillId="29" borderId="7" xfId="249" applyFont="1" applyFill="1" applyBorder="1" applyAlignment="1">
      <alignment horizontal="center" vertical="center" wrapText="1"/>
    </xf>
    <xf numFmtId="0" fontId="10" fillId="29" borderId="25" xfId="249" quotePrefix="1" applyFont="1" applyFill="1" applyBorder="1" applyAlignment="1">
      <alignment horizontal="center" vertical="center" wrapText="1"/>
    </xf>
    <xf numFmtId="0" fontId="58" fillId="29" borderId="30" xfId="249" applyFont="1" applyFill="1" applyBorder="1" applyAlignment="1">
      <alignment wrapText="1"/>
    </xf>
    <xf numFmtId="0" fontId="47" fillId="29" borderId="31" xfId="224" applyFont="1" applyFill="1" applyBorder="1" applyAlignment="1">
      <alignment vertical="center"/>
    </xf>
    <xf numFmtId="0" fontId="10" fillId="29" borderId="29" xfId="224" applyFont="1" applyFill="1" applyBorder="1" applyAlignment="1">
      <alignment vertical="center" wrapText="1"/>
    </xf>
    <xf numFmtId="0" fontId="5" fillId="29" borderId="7" xfId="224" applyFont="1" applyFill="1" applyBorder="1" applyAlignment="1">
      <alignment horizontal="center" vertical="center" wrapText="1"/>
    </xf>
    <xf numFmtId="0" fontId="47" fillId="29" borderId="28" xfId="224" applyFont="1" applyFill="1" applyBorder="1" applyAlignment="1">
      <alignment vertical="center"/>
    </xf>
    <xf numFmtId="0" fontId="10" fillId="29" borderId="30" xfId="224" applyFont="1" applyFill="1" applyBorder="1" applyAlignment="1">
      <alignment vertical="center" wrapText="1"/>
    </xf>
    <xf numFmtId="0" fontId="51" fillId="29" borderId="24" xfId="224" applyFont="1" applyFill="1" applyBorder="1" applyAlignment="1">
      <alignment vertical="center" wrapText="1"/>
    </xf>
    <xf numFmtId="0" fontId="4" fillId="29" borderId="31" xfId="224" applyFont="1" applyFill="1" applyBorder="1" applyAlignment="1">
      <alignment horizontal="center" vertical="center"/>
    </xf>
    <xf numFmtId="0" fontId="11" fillId="29" borderId="29" xfId="224" applyFont="1" applyFill="1" applyBorder="1" applyAlignment="1">
      <alignment horizontal="left" vertical="center" wrapText="1"/>
    </xf>
    <xf numFmtId="0" fontId="4" fillId="29" borderId="28" xfId="224" applyFont="1" applyFill="1" applyBorder="1" applyAlignment="1">
      <alignment horizontal="center" vertical="center"/>
    </xf>
    <xf numFmtId="0" fontId="11" fillId="29" borderId="30" xfId="224" applyFont="1" applyFill="1" applyBorder="1" applyAlignment="1">
      <alignment horizontal="left" vertical="center" wrapText="1"/>
    </xf>
    <xf numFmtId="0" fontId="10" fillId="29" borderId="16" xfId="224" applyFont="1" applyFill="1" applyBorder="1" applyAlignment="1">
      <alignment horizontal="center" vertical="center" wrapText="1"/>
    </xf>
    <xf numFmtId="0" fontId="10" fillId="29" borderId="12" xfId="224" applyFont="1" applyFill="1" applyBorder="1" applyAlignment="1">
      <alignment horizontal="center" vertical="center" wrapText="1"/>
    </xf>
    <xf numFmtId="0" fontId="10" fillId="29" borderId="18" xfId="224" applyFont="1" applyFill="1" applyBorder="1" applyAlignment="1">
      <alignment horizontal="center" vertical="center" wrapText="1"/>
    </xf>
    <xf numFmtId="0" fontId="7" fillId="29" borderId="12" xfId="224" quotePrefix="1" applyFont="1" applyFill="1" applyBorder="1" applyAlignment="1">
      <alignment horizontal="center" vertical="center" wrapText="1"/>
    </xf>
    <xf numFmtId="0" fontId="11" fillId="29" borderId="33" xfId="224" applyFont="1" applyFill="1" applyBorder="1" applyAlignment="1">
      <alignment wrapText="1"/>
    </xf>
    <xf numFmtId="0" fontId="51" fillId="29" borderId="25" xfId="224" applyFont="1" applyFill="1" applyBorder="1" applyAlignment="1">
      <alignment horizontal="center" wrapText="1"/>
    </xf>
    <xf numFmtId="0" fontId="8" fillId="29" borderId="16" xfId="224" applyFont="1" applyFill="1" applyBorder="1" applyAlignment="1">
      <alignment horizontal="center" vertical="center" wrapText="1"/>
    </xf>
    <xf numFmtId="0" fontId="11" fillId="29" borderId="30" xfId="224" applyFont="1" applyFill="1" applyBorder="1" applyAlignment="1">
      <alignment wrapText="1"/>
    </xf>
    <xf numFmtId="0" fontId="51" fillId="29" borderId="24" xfId="224" applyFont="1" applyFill="1" applyBorder="1" applyAlignment="1">
      <alignment horizontal="center" wrapText="1"/>
    </xf>
    <xf numFmtId="0" fontId="10" fillId="29" borderId="19" xfId="224" quotePrefix="1" applyFont="1" applyFill="1" applyBorder="1" applyAlignment="1">
      <alignment horizontal="center" vertical="center"/>
    </xf>
    <xf numFmtId="0" fontId="8" fillId="29" borderId="29" xfId="224" applyFont="1" applyFill="1" applyBorder="1" applyAlignment="1">
      <alignment wrapText="1"/>
    </xf>
    <xf numFmtId="0" fontId="8" fillId="29" borderId="30" xfId="224" applyFont="1" applyFill="1" applyBorder="1" applyAlignment="1">
      <alignment wrapText="1"/>
    </xf>
    <xf numFmtId="0" fontId="10" fillId="29" borderId="19" xfId="224" quotePrefix="1" applyFont="1" applyFill="1" applyBorder="1" applyAlignment="1">
      <alignment horizontal="center" wrapText="1"/>
    </xf>
    <xf numFmtId="0" fontId="10" fillId="29" borderId="31" xfId="237" applyFont="1" applyFill="1" applyBorder="1"/>
    <xf numFmtId="0" fontId="5" fillId="29" borderId="29" xfId="237" applyFont="1" applyFill="1" applyBorder="1" applyAlignment="1">
      <alignment horizontal="left" wrapText="1"/>
    </xf>
    <xf numFmtId="0" fontId="9" fillId="29" borderId="19" xfId="237" applyFont="1" applyFill="1" applyBorder="1" applyAlignment="1">
      <alignment horizontal="center" vertical="center" wrapText="1"/>
    </xf>
    <xf numFmtId="0" fontId="11" fillId="29" borderId="7" xfId="224" applyFont="1" applyFill="1" applyBorder="1" applyAlignment="1">
      <alignment horizontal="center" wrapText="1"/>
    </xf>
    <xf numFmtId="0" fontId="10" fillId="29" borderId="32" xfId="237" applyFont="1" applyFill="1" applyBorder="1"/>
    <xf numFmtId="0" fontId="5" fillId="29" borderId="33" xfId="237" applyFont="1" applyFill="1" applyBorder="1" applyAlignment="1">
      <alignment horizontal="left" wrapText="1"/>
    </xf>
    <xf numFmtId="0" fontId="116" fillId="29" borderId="25" xfId="224" applyFont="1" applyFill="1" applyBorder="1" applyAlignment="1">
      <alignment horizontal="center" vertical="top" wrapText="1"/>
    </xf>
    <xf numFmtId="0" fontId="8" fillId="29" borderId="7" xfId="224" applyFont="1" applyFill="1" applyBorder="1" applyAlignment="1">
      <alignment horizontal="center" vertical="top" wrapText="1"/>
    </xf>
    <xf numFmtId="0" fontId="10" fillId="29" borderId="28" xfId="237" applyFont="1" applyFill="1" applyBorder="1"/>
    <xf numFmtId="0" fontId="5" fillId="29" borderId="30" xfId="237" applyFont="1" applyFill="1" applyBorder="1" applyAlignment="1">
      <alignment horizontal="left" wrapText="1"/>
    </xf>
    <xf numFmtId="0" fontId="116" fillId="29" borderId="24" xfId="224" applyFont="1" applyFill="1" applyBorder="1" applyAlignment="1">
      <alignment horizontal="center" vertical="top" wrapText="1"/>
    </xf>
    <xf numFmtId="0" fontId="10" fillId="29" borderId="7" xfId="236" quotePrefix="1" applyFont="1" applyFill="1" applyBorder="1" applyAlignment="1">
      <alignment horizontal="center" vertical="center" wrapText="1"/>
    </xf>
    <xf numFmtId="0" fontId="8" fillId="29" borderId="7" xfId="224" applyFont="1" applyFill="1" applyBorder="1" applyAlignment="1">
      <alignment horizontal="center" vertical="center" wrapText="1"/>
    </xf>
    <xf numFmtId="0" fontId="9" fillId="29" borderId="19" xfId="0" applyFont="1" applyFill="1" applyBorder="1" applyAlignment="1">
      <alignment horizontal="center" vertical="center" wrapText="1"/>
    </xf>
    <xf numFmtId="0" fontId="5" fillId="29" borderId="31" xfId="224" applyFont="1" applyFill="1" applyBorder="1"/>
    <xf numFmtId="0" fontId="5" fillId="0" borderId="0" xfId="224" applyFont="1"/>
    <xf numFmtId="0" fontId="5" fillId="0" borderId="0" xfId="249" applyFont="1" applyFill="1" applyAlignment="1"/>
    <xf numFmtId="0" fontId="5" fillId="29" borderId="31" xfId="0" applyFont="1" applyFill="1" applyBorder="1"/>
    <xf numFmtId="0" fontId="5" fillId="0" borderId="0" xfId="236" applyFont="1"/>
    <xf numFmtId="0" fontId="5" fillId="29" borderId="31" xfId="224" applyFont="1" applyFill="1" applyBorder="1" applyAlignment="1">
      <alignment horizontal="justify"/>
    </xf>
    <xf numFmtId="0" fontId="5" fillId="0" borderId="0" xfId="237" applyFont="1" applyAlignment="1">
      <alignment horizontal="left"/>
    </xf>
    <xf numFmtId="0" fontId="5" fillId="29" borderId="31" xfId="237" applyFont="1" applyFill="1" applyBorder="1"/>
    <xf numFmtId="0" fontId="5" fillId="0" borderId="0" xfId="0" applyFont="1" applyAlignment="1">
      <alignment horizontal="left"/>
    </xf>
    <xf numFmtId="0" fontId="5" fillId="0" borderId="0" xfId="236" applyFont="1" applyAlignment="1">
      <alignment horizontal="center"/>
    </xf>
    <xf numFmtId="0" fontId="5" fillId="29" borderId="31" xfId="0" applyFont="1" applyFill="1" applyBorder="1" applyAlignment="1">
      <alignment horizontal="center" vertical="center"/>
    </xf>
    <xf numFmtId="0" fontId="5" fillId="29" borderId="19" xfId="224" applyFont="1" applyFill="1" applyBorder="1" applyAlignment="1">
      <alignment horizontal="center" vertical="center" wrapText="1"/>
    </xf>
    <xf numFmtId="0" fontId="5" fillId="0" borderId="0" xfId="224" applyFont="1" applyAlignment="1">
      <alignment horizontal="center"/>
    </xf>
    <xf numFmtId="0" fontId="5" fillId="0" borderId="0" xfId="0" applyFont="1"/>
    <xf numFmtId="0" fontId="5" fillId="29" borderId="14" xfId="236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wrapText="1"/>
    </xf>
    <xf numFmtId="0" fontId="9" fillId="29" borderId="19" xfId="224" applyFont="1" applyFill="1" applyBorder="1" applyAlignment="1">
      <alignment horizontal="center" vertical="center" wrapText="1"/>
    </xf>
    <xf numFmtId="0" fontId="11" fillId="0" borderId="0" xfId="237" applyFont="1" applyAlignment="1">
      <alignment horizontal="left"/>
    </xf>
    <xf numFmtId="0" fontId="9" fillId="29" borderId="19" xfId="224" applyFont="1" applyFill="1" applyBorder="1" applyAlignment="1">
      <alignment horizontal="center" wrapText="1"/>
    </xf>
    <xf numFmtId="0" fontId="11" fillId="29" borderId="19" xfId="224" applyFont="1" applyFill="1" applyBorder="1" applyAlignment="1">
      <alignment horizontal="center" vertical="center" wrapText="1"/>
    </xf>
    <xf numFmtId="0" fontId="11" fillId="29" borderId="7" xfId="224" applyFont="1" applyFill="1" applyBorder="1" applyAlignment="1">
      <alignment horizontal="center" vertical="center" wrapText="1"/>
    </xf>
    <xf numFmtId="0" fontId="12" fillId="0" borderId="0" xfId="236" applyFont="1" applyFill="1" applyAlignment="1">
      <alignment horizontal="left"/>
    </xf>
    <xf numFmtId="0" fontId="10" fillId="0" borderId="0" xfId="224" applyFont="1" applyFill="1"/>
    <xf numFmtId="0" fontId="8" fillId="0" borderId="16" xfId="224" applyFont="1" applyFill="1" applyBorder="1" applyAlignment="1">
      <alignment wrapText="1"/>
    </xf>
    <xf numFmtId="0" fontId="8" fillId="0" borderId="12" xfId="249" applyFont="1" applyFill="1" applyBorder="1" applyAlignment="1">
      <alignment horizontal="left" vertical="center" wrapText="1"/>
    </xf>
    <xf numFmtId="0" fontId="8" fillId="0" borderId="7" xfId="249" applyFont="1" applyFill="1" applyBorder="1" applyAlignment="1">
      <alignment vertical="top" wrapText="1"/>
    </xf>
    <xf numFmtId="0" fontId="8" fillId="0" borderId="19" xfId="224" applyFont="1" applyFill="1" applyBorder="1" applyAlignment="1">
      <alignment horizontal="left" vertical="center" wrapText="1"/>
    </xf>
    <xf numFmtId="0" fontId="11" fillId="29" borderId="7" xfId="224" applyFont="1" applyFill="1" applyBorder="1" applyAlignment="1">
      <alignment horizontal="center" vertical="center" wrapText="1"/>
    </xf>
    <xf numFmtId="0" fontId="8" fillId="0" borderId="16" xfId="224" applyFont="1" applyFill="1" applyBorder="1" applyAlignment="1">
      <alignment horizontal="left" vertical="top" wrapText="1"/>
    </xf>
    <xf numFmtId="0" fontId="11" fillId="0" borderId="12" xfId="224" applyFont="1" applyFill="1" applyBorder="1" applyAlignment="1">
      <alignment horizontal="left" vertical="top" wrapText="1"/>
    </xf>
    <xf numFmtId="0" fontId="8" fillId="0" borderId="12" xfId="224" applyFont="1" applyFill="1" applyBorder="1" applyAlignment="1">
      <alignment horizontal="left" vertical="top" wrapText="1"/>
    </xf>
    <xf numFmtId="0" fontId="117" fillId="29" borderId="1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7" fillId="0" borderId="25" xfId="224" applyFont="1" applyFill="1" applyBorder="1" applyAlignment="1">
      <alignment horizontal="left" vertical="center" wrapText="1" indent="1"/>
    </xf>
    <xf numFmtId="0" fontId="6" fillId="0" borderId="25" xfId="224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118" fillId="0" borderId="0" xfId="0" applyFont="1"/>
    <xf numFmtId="0" fontId="119" fillId="0" borderId="0" xfId="0" applyFont="1"/>
    <xf numFmtId="0" fontId="118" fillId="0" borderId="0" xfId="237" applyFont="1"/>
    <xf numFmtId="0" fontId="120" fillId="0" borderId="0" xfId="224" applyFont="1" applyFill="1" applyBorder="1" applyAlignment="1">
      <alignment vertical="top" wrapText="1"/>
    </xf>
    <xf numFmtId="0" fontId="74" fillId="0" borderId="0" xfId="0" applyFont="1" applyAlignment="1">
      <alignment horizontal="left"/>
    </xf>
    <xf numFmtId="0" fontId="75" fillId="0" borderId="0" xfId="0" applyFont="1" applyAlignment="1">
      <alignment horizontal="left" vertical="top"/>
    </xf>
    <xf numFmtId="0" fontId="73" fillId="0" borderId="0" xfId="0" applyFont="1"/>
    <xf numFmtId="0" fontId="73" fillId="29" borderId="14" xfId="0" applyFont="1" applyFill="1" applyBorder="1" applyAlignment="1">
      <alignment horizontal="left" vertical="center" wrapText="1"/>
    </xf>
    <xf numFmtId="0" fontId="76" fillId="29" borderId="19" xfId="0" applyFont="1" applyFill="1" applyBorder="1" applyAlignment="1">
      <alignment horizontal="center" vertical="center" wrapText="1"/>
    </xf>
    <xf numFmtId="0" fontId="72" fillId="29" borderId="19" xfId="0" applyFont="1" applyFill="1" applyBorder="1" applyAlignment="1">
      <alignment horizontal="center" textRotation="90" wrapText="1"/>
    </xf>
    <xf numFmtId="0" fontId="73" fillId="29" borderId="13" xfId="0" applyFont="1" applyFill="1" applyBorder="1" applyAlignment="1">
      <alignment horizontal="left" vertical="center" wrapText="1"/>
    </xf>
    <xf numFmtId="0" fontId="76" fillId="29" borderId="24" xfId="0" applyFont="1" applyFill="1" applyBorder="1" applyAlignment="1">
      <alignment horizontal="center" vertical="center" wrapText="1"/>
    </xf>
    <xf numFmtId="0" fontId="72" fillId="29" borderId="24" xfId="0" applyFont="1" applyFill="1" applyBorder="1" applyAlignment="1">
      <alignment horizontal="center" textRotation="90" wrapText="1"/>
    </xf>
    <xf numFmtId="0" fontId="72" fillId="29" borderId="7" xfId="0" quotePrefix="1" applyFont="1" applyFill="1" applyBorder="1" applyAlignment="1">
      <alignment horizontal="center" vertical="center" wrapText="1"/>
    </xf>
    <xf numFmtId="0" fontId="77" fillId="29" borderId="15" xfId="0" applyFont="1" applyFill="1" applyBorder="1" applyAlignment="1">
      <alignment horizontal="center" vertical="center" wrapText="1"/>
    </xf>
    <xf numFmtId="0" fontId="75" fillId="0" borderId="15" xfId="0" applyFont="1" applyFill="1" applyBorder="1" applyAlignment="1">
      <alignment horizontal="left" vertical="center" wrapText="1"/>
    </xf>
    <xf numFmtId="0" fontId="78" fillId="0" borderId="15" xfId="0" applyFont="1" applyFill="1" applyBorder="1" applyAlignment="1">
      <alignment horizontal="left" vertical="center" wrapText="1"/>
    </xf>
    <xf numFmtId="0" fontId="77" fillId="29" borderId="12" xfId="0" applyFont="1" applyFill="1" applyBorder="1" applyAlignment="1">
      <alignment horizontal="center" vertical="center" wrapText="1"/>
    </xf>
    <xf numFmtId="0" fontId="77" fillId="0" borderId="12" xfId="0" applyFont="1" applyFill="1" applyBorder="1" applyAlignment="1">
      <alignment horizontal="left" vertical="center" wrapText="1" indent="1"/>
    </xf>
    <xf numFmtId="0" fontId="78" fillId="0" borderId="16" xfId="0" applyFont="1" applyFill="1" applyBorder="1" applyAlignment="1">
      <alignment horizontal="left" vertical="center" wrapText="1"/>
    </xf>
    <xf numFmtId="0" fontId="77" fillId="29" borderId="18" xfId="0" applyFont="1" applyFill="1" applyBorder="1" applyAlignment="1">
      <alignment horizontal="center" vertical="center" wrapText="1"/>
    </xf>
    <xf numFmtId="0" fontId="77" fillId="28" borderId="18" xfId="0" applyFont="1" applyFill="1" applyBorder="1" applyAlignment="1">
      <alignment horizontal="left" vertical="center" wrapText="1" indent="1"/>
    </xf>
    <xf numFmtId="0" fontId="78" fillId="28" borderId="12" xfId="0" applyFont="1" applyFill="1" applyBorder="1" applyAlignment="1">
      <alignment horizontal="left" vertical="center" wrapText="1"/>
    </xf>
    <xf numFmtId="0" fontId="72" fillId="29" borderId="12" xfId="0" applyFont="1" applyFill="1" applyBorder="1" applyAlignment="1">
      <alignment horizontal="center" vertical="center" wrapText="1"/>
    </xf>
    <xf numFmtId="0" fontId="73" fillId="28" borderId="12" xfId="0" applyFont="1" applyFill="1" applyBorder="1" applyAlignment="1">
      <alignment horizontal="left" vertical="center" wrapText="1"/>
    </xf>
    <xf numFmtId="0" fontId="79" fillId="0" borderId="12" xfId="0" applyFont="1" applyFill="1" applyBorder="1" applyAlignment="1">
      <alignment horizontal="left" vertical="center" wrapText="1"/>
    </xf>
    <xf numFmtId="0" fontId="77" fillId="28" borderId="12" xfId="0" applyFont="1" applyFill="1" applyBorder="1" applyAlignment="1">
      <alignment horizontal="left" vertical="center" wrapText="1" indent="1"/>
    </xf>
    <xf numFmtId="0" fontId="78" fillId="0" borderId="12" xfId="0" applyFont="1" applyFill="1" applyBorder="1" applyAlignment="1">
      <alignment horizontal="left" vertical="center" wrapText="1"/>
    </xf>
    <xf numFmtId="0" fontId="72" fillId="28" borderId="12" xfId="0" applyFont="1" applyFill="1" applyBorder="1" applyAlignment="1">
      <alignment horizontal="left" vertical="center" wrapText="1" indent="1"/>
    </xf>
    <xf numFmtId="0" fontId="72" fillId="28" borderId="12" xfId="0" applyFont="1" applyFill="1" applyBorder="1" applyAlignment="1">
      <alignment horizontal="center" vertical="center" wrapText="1"/>
    </xf>
    <xf numFmtId="0" fontId="77" fillId="28" borderId="12" xfId="0" applyFont="1" applyFill="1" applyBorder="1" applyAlignment="1">
      <alignment horizontal="center" vertical="center" wrapText="1"/>
    </xf>
    <xf numFmtId="0" fontId="73" fillId="0" borderId="12" xfId="0" applyFont="1" applyFill="1" applyBorder="1" applyAlignment="1">
      <alignment horizontal="left" vertical="center" wrapText="1"/>
    </xf>
    <xf numFmtId="0" fontId="79" fillId="28" borderId="12" xfId="0" applyFont="1" applyFill="1" applyBorder="1" applyAlignment="1">
      <alignment horizontal="left" vertical="center" wrapText="1"/>
    </xf>
    <xf numFmtId="0" fontId="80" fillId="0" borderId="12" xfId="0" applyFont="1" applyFill="1" applyBorder="1" applyAlignment="1">
      <alignment horizontal="left" vertical="center" wrapText="1"/>
    </xf>
    <xf numFmtId="0" fontId="72" fillId="0" borderId="12" xfId="0" applyFont="1" applyFill="1" applyBorder="1" applyAlignment="1">
      <alignment horizontal="left" vertical="center" wrapText="1" indent="1"/>
    </xf>
    <xf numFmtId="0" fontId="72" fillId="29" borderId="18" xfId="0" applyFont="1" applyFill="1" applyBorder="1" applyAlignment="1">
      <alignment horizontal="center" vertical="center" wrapText="1"/>
    </xf>
    <xf numFmtId="0" fontId="72" fillId="29" borderId="7" xfId="0" applyFont="1" applyFill="1" applyBorder="1" applyAlignment="1">
      <alignment horizontal="center" vertical="center" wrapText="1"/>
    </xf>
    <xf numFmtId="0" fontId="73" fillId="0" borderId="7" xfId="0" applyFont="1" applyFill="1" applyBorder="1" applyAlignment="1">
      <alignment horizontal="left" vertical="center" wrapText="1"/>
    </xf>
    <xf numFmtId="0" fontId="77" fillId="0" borderId="0" xfId="0" applyFont="1"/>
    <xf numFmtId="0" fontId="78" fillId="0" borderId="0" xfId="0" applyFont="1"/>
    <xf numFmtId="0" fontId="77" fillId="0" borderId="0" xfId="0" applyFont="1" applyAlignment="1">
      <alignment horizontal="center"/>
    </xf>
    <xf numFmtId="0" fontId="77" fillId="29" borderId="31" xfId="0" applyFont="1" applyFill="1" applyBorder="1" applyAlignment="1">
      <alignment horizontal="center" vertical="center"/>
    </xf>
    <xf numFmtId="0" fontId="77" fillId="29" borderId="28" xfId="0" applyFont="1" applyFill="1" applyBorder="1" applyAlignment="1">
      <alignment horizontal="center" vertical="center"/>
    </xf>
    <xf numFmtId="0" fontId="121" fillId="0" borderId="0" xfId="0" applyFont="1"/>
    <xf numFmtId="0" fontId="77" fillId="0" borderId="0" xfId="0" applyFont="1" applyAlignment="1">
      <alignment horizontal="center" vertical="center"/>
    </xf>
    <xf numFmtId="0" fontId="119" fillId="0" borderId="0" xfId="224" applyFont="1" applyFill="1"/>
    <xf numFmtId="0" fontId="121" fillId="0" borderId="0" xfId="237" applyFont="1"/>
    <xf numFmtId="0" fontId="77" fillId="0" borderId="0" xfId="237" applyFont="1"/>
    <xf numFmtId="0" fontId="82" fillId="0" borderId="0" xfId="258" applyFont="1"/>
    <xf numFmtId="0" fontId="77" fillId="0" borderId="0" xfId="224" applyFont="1"/>
    <xf numFmtId="0" fontId="78" fillId="0" borderId="0" xfId="224" applyFont="1" applyFill="1" applyBorder="1" applyAlignment="1"/>
    <xf numFmtId="0" fontId="75" fillId="0" borderId="0" xfId="224" applyFont="1" applyFill="1" applyBorder="1" applyAlignment="1">
      <alignment vertical="top" wrapText="1"/>
    </xf>
    <xf numFmtId="0" fontId="77" fillId="0" borderId="0" xfId="224" applyFont="1" applyFill="1" applyBorder="1" applyAlignment="1"/>
    <xf numFmtId="0" fontId="121" fillId="0" borderId="0" xfId="224" applyFont="1" applyAlignment="1">
      <alignment vertical="center"/>
    </xf>
    <xf numFmtId="0" fontId="121" fillId="0" borderId="0" xfId="224" applyFont="1"/>
    <xf numFmtId="165" fontId="73" fillId="31" borderId="16" xfId="162" applyNumberFormat="1" applyFont="1" applyFill="1" applyBorder="1" applyAlignment="1">
      <alignment horizontal="center" vertical="center" wrapText="1"/>
    </xf>
    <xf numFmtId="165" fontId="73" fillId="31" borderId="12" xfId="162" applyNumberFormat="1" applyFont="1" applyFill="1" applyBorder="1" applyAlignment="1">
      <alignment horizontal="center" vertical="center" wrapText="1"/>
    </xf>
    <xf numFmtId="165" fontId="73" fillId="31" borderId="12" xfId="162" applyNumberFormat="1" applyFont="1" applyFill="1" applyBorder="1" applyAlignment="1">
      <alignment horizontal="left" vertical="center" wrapText="1"/>
    </xf>
    <xf numFmtId="165" fontId="73" fillId="31" borderId="7" xfId="162" applyNumberFormat="1" applyFont="1" applyFill="1" applyBorder="1" applyAlignment="1">
      <alignment horizontal="left" vertical="center" wrapText="1"/>
    </xf>
    <xf numFmtId="165" fontId="47" fillId="30" borderId="12" xfId="162" applyNumberFormat="1" applyFont="1" applyFill="1" applyBorder="1" applyAlignment="1">
      <alignment horizontal="center"/>
    </xf>
    <xf numFmtId="165" fontId="10" fillId="30" borderId="12" xfId="162" applyNumberFormat="1" applyFont="1" applyFill="1" applyBorder="1" applyAlignment="1">
      <alignment horizontal="center" vertical="top" wrapText="1"/>
    </xf>
    <xf numFmtId="165" fontId="75" fillId="31" borderId="15" xfId="162" applyNumberFormat="1" applyFont="1" applyFill="1" applyBorder="1" applyAlignment="1">
      <alignment horizontal="center" vertical="center" wrapText="1"/>
    </xf>
    <xf numFmtId="165" fontId="75" fillId="31" borderId="12" xfId="162" applyNumberFormat="1" applyFont="1" applyFill="1" applyBorder="1" applyAlignment="1">
      <alignment horizontal="center" vertical="center" wrapText="1"/>
    </xf>
    <xf numFmtId="165" fontId="11" fillId="31" borderId="7" xfId="162" applyNumberFormat="1" applyFont="1" applyFill="1" applyBorder="1" applyAlignment="1">
      <alignment vertical="top" wrapText="1"/>
    </xf>
    <xf numFmtId="165" fontId="75" fillId="31" borderId="12" xfId="162" applyNumberFormat="1" applyFont="1" applyFill="1" applyBorder="1" applyAlignment="1">
      <alignment vertical="top" wrapText="1"/>
    </xf>
    <xf numFmtId="165" fontId="10" fillId="30" borderId="12" xfId="162" applyNumberFormat="1" applyFont="1" applyFill="1" applyBorder="1" applyAlignment="1">
      <alignment vertical="top" wrapText="1"/>
    </xf>
    <xf numFmtId="165" fontId="75" fillId="31" borderId="7" xfId="162" applyNumberFormat="1" applyFont="1" applyFill="1" applyBorder="1" applyAlignment="1">
      <alignment vertical="top" wrapText="1"/>
    </xf>
    <xf numFmtId="165" fontId="75" fillId="31" borderId="19" xfId="162" applyNumberFormat="1" applyFont="1" applyFill="1" applyBorder="1" applyAlignment="1">
      <alignment vertical="top" wrapText="1"/>
    </xf>
    <xf numFmtId="165" fontId="75" fillId="31" borderId="24" xfId="162" applyNumberFormat="1" applyFont="1" applyFill="1" applyBorder="1" applyAlignment="1">
      <alignment vertical="top" wrapText="1"/>
    </xf>
    <xf numFmtId="165" fontId="10" fillId="30" borderId="19" xfId="162" applyNumberFormat="1" applyFont="1" applyFill="1" applyBorder="1" applyAlignment="1">
      <alignment vertical="top" wrapText="1"/>
    </xf>
    <xf numFmtId="165" fontId="10" fillId="30" borderId="17" xfId="162" applyNumberFormat="1" applyFont="1" applyFill="1" applyBorder="1" applyAlignment="1">
      <alignment vertical="top" wrapText="1"/>
    </xf>
    <xf numFmtId="165" fontId="75" fillId="31" borderId="15" xfId="162" applyNumberFormat="1" applyFont="1" applyFill="1" applyBorder="1" applyAlignment="1">
      <alignment horizontal="justify" vertical="top" wrapText="1"/>
    </xf>
    <xf numFmtId="165" fontId="75" fillId="31" borderId="12" xfId="162" applyNumberFormat="1" applyFont="1" applyFill="1" applyBorder="1" applyAlignment="1">
      <alignment horizontal="justify" vertical="top" wrapText="1"/>
    </xf>
    <xf numFmtId="165" fontId="75" fillId="31" borderId="7" xfId="162" applyNumberFormat="1" applyFont="1" applyFill="1" applyBorder="1" applyAlignment="1">
      <alignment horizontal="center" wrapText="1"/>
    </xf>
    <xf numFmtId="165" fontId="10" fillId="30" borderId="15" xfId="162" applyNumberFormat="1" applyFont="1" applyFill="1" applyBorder="1" applyAlignment="1">
      <alignment vertical="top" wrapText="1"/>
    </xf>
    <xf numFmtId="165" fontId="73" fillId="31" borderId="12" xfId="162" applyNumberFormat="1" applyFont="1" applyFill="1" applyBorder="1" applyAlignment="1">
      <alignment horizontal="center" vertical="top" wrapText="1"/>
    </xf>
    <xf numFmtId="165" fontId="7" fillId="32" borderId="16" xfId="162" applyNumberFormat="1" applyFont="1" applyFill="1" applyBorder="1" applyAlignment="1">
      <alignment horizontal="center" vertical="top" wrapText="1"/>
    </xf>
    <xf numFmtId="165" fontId="73" fillId="31" borderId="16" xfId="162" applyNumberFormat="1" applyFont="1" applyFill="1" applyBorder="1" applyAlignment="1">
      <alignment horizontal="center" vertical="top" wrapText="1"/>
    </xf>
    <xf numFmtId="165" fontId="7" fillId="32" borderId="12" xfId="162" applyNumberFormat="1" applyFont="1" applyFill="1" applyBorder="1" applyAlignment="1">
      <alignment horizontal="center" vertical="top" wrapText="1"/>
    </xf>
    <xf numFmtId="165" fontId="7" fillId="32" borderId="18" xfId="162" applyNumberFormat="1" applyFont="1" applyFill="1" applyBorder="1" applyAlignment="1">
      <alignment horizontal="center" vertical="top" wrapText="1"/>
    </xf>
    <xf numFmtId="165" fontId="7" fillId="32" borderId="17" xfId="162" applyNumberFormat="1" applyFont="1" applyFill="1" applyBorder="1" applyAlignment="1">
      <alignment horizontal="center" vertical="top" wrapText="1"/>
    </xf>
    <xf numFmtId="165" fontId="75" fillId="31" borderId="7" xfId="162" applyNumberFormat="1" applyFont="1" applyFill="1" applyBorder="1" applyAlignment="1"/>
    <xf numFmtId="165" fontId="10" fillId="30" borderId="12" xfId="162" applyNumberFormat="1" applyFont="1" applyFill="1" applyBorder="1" applyAlignment="1">
      <alignment horizontal="left" wrapText="1"/>
    </xf>
    <xf numFmtId="165" fontId="75" fillId="31" borderId="12" xfId="162" applyNumberFormat="1" applyFont="1" applyFill="1" applyBorder="1" applyAlignment="1">
      <alignment vertical="center" wrapText="1"/>
    </xf>
    <xf numFmtId="165" fontId="75" fillId="31" borderId="15" xfId="162" applyNumberFormat="1" applyFont="1" applyFill="1" applyBorder="1" applyAlignment="1">
      <alignment horizontal="right" vertical="top" wrapText="1"/>
    </xf>
    <xf numFmtId="165" fontId="75" fillId="31" borderId="12" xfId="162" applyNumberFormat="1" applyFont="1" applyFill="1" applyBorder="1" applyAlignment="1">
      <alignment horizontal="right" vertical="top" wrapText="1"/>
    </xf>
    <xf numFmtId="0" fontId="74" fillId="0" borderId="0" xfId="224" applyFont="1" applyAlignment="1">
      <alignment horizontal="left"/>
    </xf>
    <xf numFmtId="0" fontId="75" fillId="0" borderId="0" xfId="224" applyFont="1" applyFill="1" applyBorder="1" applyAlignment="1">
      <alignment wrapText="1"/>
    </xf>
    <xf numFmtId="0" fontId="77" fillId="0" borderId="0" xfId="224" applyFont="1" applyFill="1" applyBorder="1" applyAlignment="1">
      <alignment horizontal="center" wrapText="1"/>
    </xf>
    <xf numFmtId="0" fontId="75" fillId="0" borderId="0" xfId="224" applyFont="1" applyFill="1" applyAlignment="1">
      <alignment horizontal="left"/>
    </xf>
    <xf numFmtId="0" fontId="73" fillId="0" borderId="0" xfId="224" applyFont="1" applyFill="1" applyBorder="1" applyAlignment="1">
      <alignment horizontal="center" wrapText="1"/>
    </xf>
    <xf numFmtId="0" fontId="75" fillId="0" borderId="13" xfId="224" applyFont="1" applyFill="1" applyBorder="1" applyAlignment="1">
      <alignment horizontal="left"/>
    </xf>
    <xf numFmtId="0" fontId="75" fillId="29" borderId="14" xfId="224" applyFont="1" applyFill="1" applyBorder="1" applyAlignment="1">
      <alignment wrapText="1"/>
    </xf>
    <xf numFmtId="0" fontId="77" fillId="29" borderId="19" xfId="224" applyFont="1" applyFill="1" applyBorder="1" applyAlignment="1">
      <alignment horizontal="center" wrapText="1"/>
    </xf>
    <xf numFmtId="0" fontId="73" fillId="29" borderId="33" xfId="224" applyFont="1" applyFill="1" applyBorder="1" applyAlignment="1">
      <alignment horizontal="left" vertical="center" wrapText="1"/>
    </xf>
    <xf numFmtId="0" fontId="76" fillId="29" borderId="25" xfId="0" applyFont="1" applyFill="1" applyBorder="1" applyAlignment="1">
      <alignment horizontal="center" vertical="center" wrapText="1"/>
    </xf>
    <xf numFmtId="0" fontId="75" fillId="29" borderId="7" xfId="224" applyFont="1" applyFill="1" applyBorder="1" applyAlignment="1">
      <alignment horizontal="center" vertical="center" wrapText="1"/>
    </xf>
    <xf numFmtId="0" fontId="73" fillId="29" borderId="30" xfId="224" applyFont="1" applyFill="1" applyBorder="1" applyAlignment="1">
      <alignment horizontal="left" vertical="center" wrapText="1"/>
    </xf>
    <xf numFmtId="0" fontId="75" fillId="0" borderId="16" xfId="0" applyFont="1" applyFill="1" applyBorder="1" applyAlignment="1">
      <alignment horizontal="left" vertical="center" wrapText="1"/>
    </xf>
    <xf numFmtId="0" fontId="78" fillId="28" borderId="25" xfId="0" applyFont="1" applyFill="1" applyBorder="1" applyAlignment="1">
      <alignment horizontal="left" vertical="center" wrapText="1"/>
    </xf>
    <xf numFmtId="0" fontId="73" fillId="28" borderId="7" xfId="0" applyFont="1" applyFill="1" applyBorder="1" applyAlignment="1">
      <alignment horizontal="left" vertical="center" wrapText="1"/>
    </xf>
    <xf numFmtId="0" fontId="79" fillId="28" borderId="7" xfId="0" applyFont="1" applyFill="1" applyBorder="1" applyAlignment="1">
      <alignment horizontal="left" vertical="center" wrapText="1"/>
    </xf>
    <xf numFmtId="0" fontId="72" fillId="29" borderId="16" xfId="0" applyFont="1" applyFill="1" applyBorder="1" applyAlignment="1">
      <alignment horizontal="center" vertical="center" wrapText="1"/>
    </xf>
    <xf numFmtId="0" fontId="73" fillId="28" borderId="16" xfId="0" applyFont="1" applyFill="1" applyBorder="1" applyAlignment="1">
      <alignment horizontal="left" vertical="center" wrapText="1"/>
    </xf>
    <xf numFmtId="0" fontId="79" fillId="0" borderId="16" xfId="0" applyFont="1" applyFill="1" applyBorder="1" applyAlignment="1">
      <alignment horizontal="left" vertical="center" wrapText="1"/>
    </xf>
    <xf numFmtId="0" fontId="73" fillId="28" borderId="18" xfId="0" applyFont="1" applyFill="1" applyBorder="1" applyAlignment="1">
      <alignment horizontal="left" vertical="center" wrapText="1"/>
    </xf>
    <xf numFmtId="0" fontId="75" fillId="28" borderId="17" xfId="0" applyFont="1" applyFill="1" applyBorder="1" applyAlignment="1">
      <alignment horizontal="left" vertical="center" wrapText="1"/>
    </xf>
    <xf numFmtId="0" fontId="78" fillId="28" borderId="17" xfId="0" applyFont="1" applyFill="1" applyBorder="1" applyAlignment="1">
      <alignment horizontal="left" vertical="center" wrapText="1"/>
    </xf>
    <xf numFmtId="0" fontId="73" fillId="28" borderId="7" xfId="0" applyFont="1" applyFill="1" applyBorder="1" applyAlignment="1">
      <alignment vertical="center" wrapText="1"/>
    </xf>
    <xf numFmtId="0" fontId="73" fillId="28" borderId="16" xfId="0" applyFont="1" applyFill="1" applyBorder="1" applyAlignment="1">
      <alignment horizontal="justify" vertical="center" wrapText="1"/>
    </xf>
    <xf numFmtId="0" fontId="78" fillId="28" borderId="15" xfId="0" applyFont="1" applyFill="1" applyBorder="1" applyAlignment="1">
      <alignment vertical="center" wrapText="1"/>
    </xf>
    <xf numFmtId="0" fontId="73" fillId="28" borderId="12" xfId="0" applyFont="1" applyFill="1" applyBorder="1" applyAlignment="1">
      <alignment horizontal="justify" vertical="center" wrapText="1"/>
    </xf>
    <xf numFmtId="0" fontId="78" fillId="28" borderId="12" xfId="0" applyFont="1" applyFill="1" applyBorder="1" applyAlignment="1">
      <alignment vertical="center" wrapText="1"/>
    </xf>
    <xf numFmtId="0" fontId="78" fillId="0" borderId="12" xfId="0" applyFont="1" applyFill="1" applyBorder="1" applyAlignment="1">
      <alignment vertical="center" wrapText="1"/>
    </xf>
    <xf numFmtId="0" fontId="77" fillId="29" borderId="7" xfId="0" applyFont="1" applyFill="1" applyBorder="1" applyAlignment="1">
      <alignment horizontal="center" vertical="center" wrapText="1"/>
    </xf>
    <xf numFmtId="0" fontId="75" fillId="28" borderId="12" xfId="0" applyFont="1" applyFill="1" applyBorder="1" applyAlignment="1">
      <alignment vertical="center" wrapText="1"/>
    </xf>
    <xf numFmtId="0" fontId="75" fillId="0" borderId="12" xfId="0" applyFont="1" applyFill="1" applyBorder="1" applyAlignment="1">
      <alignment vertical="center" wrapText="1"/>
    </xf>
    <xf numFmtId="0" fontId="73" fillId="28" borderId="12" xfId="0" applyFont="1" applyFill="1" applyBorder="1" applyAlignment="1">
      <alignment vertical="center" wrapText="1"/>
    </xf>
    <xf numFmtId="0" fontId="79" fillId="28" borderId="12" xfId="0" applyFont="1" applyFill="1" applyBorder="1" applyAlignment="1">
      <alignment vertical="center" wrapText="1"/>
    </xf>
    <xf numFmtId="0" fontId="73" fillId="28" borderId="17" xfId="0" applyFont="1" applyFill="1" applyBorder="1" applyAlignment="1">
      <alignment vertical="center" wrapText="1"/>
    </xf>
    <xf numFmtId="0" fontId="79" fillId="0" borderId="17" xfId="0" applyFont="1" applyFill="1" applyBorder="1" applyAlignment="1">
      <alignment vertical="center" wrapText="1"/>
    </xf>
    <xf numFmtId="0" fontId="73" fillId="0" borderId="17" xfId="0" applyFont="1" applyFill="1" applyBorder="1" applyAlignment="1">
      <alignment vertical="center" wrapText="1"/>
    </xf>
    <xf numFmtId="0" fontId="79" fillId="28" borderId="17" xfId="0" applyFont="1" applyFill="1" applyBorder="1" applyAlignment="1">
      <alignment vertical="center" wrapText="1"/>
    </xf>
    <xf numFmtId="0" fontId="72" fillId="29" borderId="25" xfId="0" applyFont="1" applyFill="1" applyBorder="1" applyAlignment="1">
      <alignment horizontal="center" vertical="center" wrapText="1"/>
    </xf>
    <xf numFmtId="0" fontId="73" fillId="28" borderId="25" xfId="0" applyFont="1" applyFill="1" applyBorder="1" applyAlignment="1">
      <alignment vertical="center" wrapText="1"/>
    </xf>
    <xf numFmtId="0" fontId="79" fillId="28" borderId="16" xfId="0" applyFont="1" applyFill="1" applyBorder="1" applyAlignment="1">
      <alignment vertical="center" wrapText="1"/>
    </xf>
    <xf numFmtId="0" fontId="73" fillId="0" borderId="7" xfId="0" applyFont="1" applyFill="1" applyBorder="1" applyAlignment="1">
      <alignment vertical="center" wrapText="1"/>
    </xf>
    <xf numFmtId="0" fontId="79" fillId="0" borderId="7" xfId="0" applyFont="1" applyFill="1" applyBorder="1" applyAlignment="1">
      <alignment vertical="center" wrapText="1"/>
    </xf>
    <xf numFmtId="0" fontId="72" fillId="28" borderId="0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vertical="center" wrapText="1"/>
    </xf>
    <xf numFmtId="0" fontId="79" fillId="28" borderId="0" xfId="0" applyFont="1" applyFill="1" applyBorder="1" applyAlignment="1">
      <alignment vertical="center" wrapText="1"/>
    </xf>
    <xf numFmtId="0" fontId="73" fillId="29" borderId="29" xfId="224" applyFont="1" applyFill="1" applyBorder="1" applyAlignment="1">
      <alignment horizontal="left" vertical="center" wrapText="1"/>
    </xf>
    <xf numFmtId="0" fontId="75" fillId="29" borderId="7" xfId="255" applyFont="1" applyFill="1" applyBorder="1" applyAlignment="1">
      <alignment horizontal="center" vertical="center" wrapText="1"/>
    </xf>
    <xf numFmtId="0" fontId="77" fillId="29" borderId="7" xfId="255" quotePrefix="1" applyFont="1" applyFill="1" applyBorder="1" applyAlignment="1">
      <alignment horizontal="center" vertical="center" wrapText="1"/>
    </xf>
    <xf numFmtId="0" fontId="77" fillId="29" borderId="15" xfId="255" quotePrefix="1" applyFont="1" applyFill="1" applyBorder="1" applyAlignment="1">
      <alignment horizontal="center" vertical="center" wrapText="1"/>
    </xf>
    <xf numFmtId="0" fontId="75" fillId="0" borderId="15" xfId="255" applyFont="1" applyFill="1" applyBorder="1" applyAlignment="1">
      <alignment horizontal="left" vertical="center" wrapText="1"/>
    </xf>
    <xf numFmtId="165" fontId="78" fillId="30" borderId="15" xfId="162" applyNumberFormat="1" applyFont="1" applyFill="1" applyBorder="1" applyAlignment="1">
      <alignment horizontal="left" vertical="center" wrapText="1"/>
    </xf>
    <xf numFmtId="0" fontId="77" fillId="29" borderId="12" xfId="255" quotePrefix="1" applyFont="1" applyFill="1" applyBorder="1" applyAlignment="1">
      <alignment horizontal="center" vertical="center" wrapText="1"/>
    </xf>
    <xf numFmtId="0" fontId="72" fillId="0" borderId="12" xfId="255" applyFont="1" applyFill="1" applyBorder="1" applyAlignment="1">
      <alignment horizontal="left" vertical="center" wrapText="1"/>
    </xf>
    <xf numFmtId="165" fontId="78" fillId="30" borderId="16" xfId="162" applyNumberFormat="1" applyFont="1" applyFill="1" applyBorder="1" applyAlignment="1">
      <alignment horizontal="left" vertical="center" wrapText="1"/>
    </xf>
    <xf numFmtId="0" fontId="72" fillId="29" borderId="12" xfId="255" quotePrefix="1" applyFont="1" applyFill="1" applyBorder="1" applyAlignment="1">
      <alignment horizontal="center" vertical="center" wrapText="1"/>
    </xf>
    <xf numFmtId="0" fontId="73" fillId="0" borderId="12" xfId="255" applyFont="1" applyFill="1" applyBorder="1" applyAlignment="1">
      <alignment horizontal="left" vertical="center" wrapText="1"/>
    </xf>
    <xf numFmtId="165" fontId="79" fillId="30" borderId="12" xfId="162" applyNumberFormat="1" applyFont="1" applyFill="1" applyBorder="1" applyAlignment="1">
      <alignment horizontal="left" vertical="center" wrapText="1"/>
    </xf>
    <xf numFmtId="165" fontId="78" fillId="30" borderId="12" xfId="162" applyNumberFormat="1" applyFont="1" applyFill="1" applyBorder="1" applyAlignment="1">
      <alignment horizontal="left" vertical="center" wrapText="1"/>
    </xf>
    <xf numFmtId="0" fontId="72" fillId="0" borderId="18" xfId="255" applyFont="1" applyFill="1" applyBorder="1" applyAlignment="1">
      <alignment horizontal="left" vertical="center" wrapText="1"/>
    </xf>
    <xf numFmtId="0" fontId="72" fillId="29" borderId="12" xfId="255" applyFont="1" applyFill="1" applyBorder="1" applyAlignment="1">
      <alignment horizontal="center" vertical="center" wrapText="1"/>
    </xf>
    <xf numFmtId="0" fontId="72" fillId="0" borderId="12" xfId="255" applyFont="1" applyFill="1" applyBorder="1" applyAlignment="1">
      <alignment horizontal="left" vertical="center" wrapText="1" indent="1"/>
    </xf>
    <xf numFmtId="0" fontId="77" fillId="0" borderId="12" xfId="255" applyFont="1" applyFill="1" applyBorder="1" applyAlignment="1">
      <alignment horizontal="left" vertical="center" wrapText="1" indent="1"/>
    </xf>
    <xf numFmtId="0" fontId="72" fillId="29" borderId="17" xfId="255" applyFont="1" applyFill="1" applyBorder="1" applyAlignment="1">
      <alignment horizontal="center" vertical="center" wrapText="1"/>
    </xf>
    <xf numFmtId="0" fontId="77" fillId="0" borderId="17" xfId="255" applyFont="1" applyFill="1" applyBorder="1" applyAlignment="1">
      <alignment horizontal="left" vertical="center" wrapText="1" indent="1"/>
    </xf>
    <xf numFmtId="0" fontId="72" fillId="0" borderId="0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left" vertical="center" wrapText="1" indent="1"/>
    </xf>
    <xf numFmtId="0" fontId="78" fillId="0" borderId="0" xfId="0" applyFont="1" applyFill="1" applyBorder="1" applyAlignment="1">
      <alignment horizontal="left" vertical="center" wrapText="1"/>
    </xf>
    <xf numFmtId="0" fontId="79" fillId="28" borderId="0" xfId="0" applyFont="1" applyFill="1" applyBorder="1" applyAlignment="1">
      <alignment horizontal="left" vertical="center" wrapText="1"/>
    </xf>
    <xf numFmtId="0" fontId="73" fillId="28" borderId="0" xfId="0" applyFont="1" applyFill="1" applyBorder="1" applyAlignment="1">
      <alignment horizontal="left" vertical="center" wrapText="1"/>
    </xf>
    <xf numFmtId="0" fontId="75" fillId="29" borderId="7" xfId="0" applyFont="1" applyFill="1" applyBorder="1" applyAlignment="1">
      <alignment horizontal="center" vertical="center" wrapText="1"/>
    </xf>
    <xf numFmtId="0" fontId="77" fillId="29" borderId="15" xfId="0" quotePrefix="1" applyFont="1" applyFill="1" applyBorder="1" applyAlignment="1">
      <alignment horizontal="center" vertical="center" wrapText="1"/>
    </xf>
    <xf numFmtId="0" fontId="73" fillId="0" borderId="15" xfId="0" applyFont="1" applyFill="1" applyBorder="1" applyAlignment="1">
      <alignment horizontal="left" vertical="center" wrapText="1"/>
    </xf>
    <xf numFmtId="0" fontId="77" fillId="29" borderId="12" xfId="0" quotePrefix="1" applyFont="1" applyFill="1" applyBorder="1" applyAlignment="1">
      <alignment horizontal="center" vertical="center" wrapText="1"/>
    </xf>
    <xf numFmtId="165" fontId="73" fillId="30" borderId="12" xfId="162" applyNumberFormat="1" applyFont="1" applyFill="1" applyBorder="1" applyAlignment="1">
      <alignment horizontal="left" vertical="center" wrapText="1"/>
    </xf>
    <xf numFmtId="0" fontId="77" fillId="29" borderId="17" xfId="0" quotePrefix="1" applyFont="1" applyFill="1" applyBorder="1" applyAlignment="1">
      <alignment horizontal="center" vertical="center" wrapText="1"/>
    </xf>
    <xf numFmtId="0" fontId="73" fillId="0" borderId="17" xfId="0" applyFont="1" applyFill="1" applyBorder="1" applyAlignment="1">
      <alignment horizontal="left" vertical="center" wrapText="1"/>
    </xf>
    <xf numFmtId="165" fontId="73" fillId="30" borderId="17" xfId="162" applyNumberFormat="1" applyFont="1" applyFill="1" applyBorder="1" applyAlignment="1">
      <alignment horizontal="left" vertical="center" wrapText="1"/>
    </xf>
    <xf numFmtId="0" fontId="77" fillId="29" borderId="7" xfId="0" quotePrefix="1" applyFont="1" applyFill="1" applyBorder="1" applyAlignment="1">
      <alignment horizontal="center" vertical="center" wrapText="1"/>
    </xf>
    <xf numFmtId="0" fontId="72" fillId="0" borderId="12" xfId="0" applyFont="1" applyFill="1" applyBorder="1" applyAlignment="1">
      <alignment horizontal="left" vertical="center" wrapText="1"/>
    </xf>
    <xf numFmtId="0" fontId="75" fillId="0" borderId="12" xfId="0" applyFont="1" applyFill="1" applyBorder="1" applyAlignment="1">
      <alignment horizontal="left" vertical="center" wrapText="1"/>
    </xf>
    <xf numFmtId="0" fontId="77" fillId="0" borderId="12" xfId="224" applyFont="1" applyFill="1" applyBorder="1" applyAlignment="1">
      <alignment horizontal="left" vertical="center" wrapText="1" indent="1"/>
    </xf>
    <xf numFmtId="0" fontId="77" fillId="0" borderId="12" xfId="224" applyFont="1" applyFill="1" applyBorder="1" applyAlignment="1">
      <alignment horizontal="left" wrapText="1" indent="1"/>
    </xf>
    <xf numFmtId="0" fontId="72" fillId="29" borderId="17" xfId="0" applyFont="1" applyFill="1" applyBorder="1" applyAlignment="1">
      <alignment horizontal="center" vertical="center" wrapText="1"/>
    </xf>
    <xf numFmtId="0" fontId="72" fillId="0" borderId="17" xfId="0" applyFont="1" applyFill="1" applyBorder="1" applyAlignment="1">
      <alignment horizontal="left" vertical="center" wrapText="1" indent="1"/>
    </xf>
    <xf numFmtId="0" fontId="77" fillId="0" borderId="0" xfId="224" applyFont="1" applyFill="1"/>
    <xf numFmtId="0" fontId="74" fillId="0" borderId="0" xfId="236" applyFont="1" applyAlignment="1">
      <alignment horizontal="left"/>
    </xf>
    <xf numFmtId="0" fontId="77" fillId="0" borderId="0" xfId="224" applyFont="1" applyAlignment="1">
      <alignment horizontal="right" vertical="center"/>
    </xf>
    <xf numFmtId="0" fontId="77" fillId="29" borderId="31" xfId="224" applyFont="1" applyFill="1" applyBorder="1"/>
    <xf numFmtId="0" fontId="75" fillId="29" borderId="14" xfId="224" applyFont="1" applyFill="1" applyBorder="1" applyAlignment="1">
      <alignment horizontal="left"/>
    </xf>
    <xf numFmtId="0" fontId="77" fillId="29" borderId="32" xfId="224" applyFont="1" applyFill="1" applyBorder="1" applyAlignment="1">
      <alignment vertical="center"/>
    </xf>
    <xf numFmtId="0" fontId="77" fillId="29" borderId="33" xfId="224" applyFont="1" applyFill="1" applyBorder="1" applyAlignment="1">
      <alignment horizontal="left" vertical="center" wrapText="1"/>
    </xf>
    <xf numFmtId="0" fontId="77" fillId="0" borderId="0" xfId="224" applyFont="1" applyAlignment="1">
      <alignment vertical="center"/>
    </xf>
    <xf numFmtId="0" fontId="77" fillId="29" borderId="32" xfId="224" applyFont="1" applyFill="1" applyBorder="1"/>
    <xf numFmtId="0" fontId="77" fillId="29" borderId="33" xfId="224" applyFont="1" applyFill="1" applyBorder="1" applyAlignment="1">
      <alignment horizontal="left" wrapText="1" indent="1"/>
    </xf>
    <xf numFmtId="0" fontId="77" fillId="29" borderId="28" xfId="224" applyFont="1" applyFill="1" applyBorder="1"/>
    <xf numFmtId="0" fontId="77" fillId="29" borderId="30" xfId="224" applyFont="1" applyFill="1" applyBorder="1" applyAlignment="1">
      <alignment horizontal="left" wrapText="1" indent="1"/>
    </xf>
    <xf numFmtId="0" fontId="72" fillId="29" borderId="16" xfId="224" applyFont="1" applyFill="1" applyBorder="1" applyAlignment="1">
      <alignment horizontal="center" vertical="center" wrapText="1"/>
    </xf>
    <xf numFmtId="0" fontId="75" fillId="28" borderId="16" xfId="224" applyFont="1" applyFill="1" applyBorder="1" applyAlignment="1">
      <alignment horizontal="left" vertical="center" wrapText="1"/>
    </xf>
    <xf numFmtId="0" fontId="78" fillId="28" borderId="16" xfId="224" applyFont="1" applyFill="1" applyBorder="1" applyAlignment="1">
      <alignment horizontal="left" vertical="center" wrapText="1"/>
    </xf>
    <xf numFmtId="0" fontId="72" fillId="29" borderId="12" xfId="224" applyFont="1" applyFill="1" applyBorder="1" applyAlignment="1">
      <alignment horizontal="center" vertical="center" wrapText="1"/>
    </xf>
    <xf numFmtId="0" fontId="75" fillId="28" borderId="12" xfId="224" applyFont="1" applyFill="1" applyBorder="1" applyAlignment="1">
      <alignment horizontal="left" vertical="center" wrapText="1"/>
    </xf>
    <xf numFmtId="0" fontId="78" fillId="28" borderId="12" xfId="224" applyFont="1" applyFill="1" applyBorder="1" applyAlignment="1">
      <alignment horizontal="left" vertical="center" wrapText="1"/>
    </xf>
    <xf numFmtId="0" fontId="72" fillId="29" borderId="7" xfId="224" applyFont="1" applyFill="1" applyBorder="1" applyAlignment="1">
      <alignment horizontal="center" vertical="center" wrapText="1"/>
    </xf>
    <xf numFmtId="0" fontId="75" fillId="28" borderId="7" xfId="224" applyFont="1" applyFill="1" applyBorder="1" applyAlignment="1">
      <alignment horizontal="left" vertical="center" wrapText="1"/>
    </xf>
    <xf numFmtId="0" fontId="78" fillId="28" borderId="7" xfId="224" applyFont="1" applyFill="1" applyBorder="1" applyAlignment="1">
      <alignment horizontal="left" vertical="center" wrapText="1"/>
    </xf>
    <xf numFmtId="0" fontId="77" fillId="0" borderId="13" xfId="224" applyFont="1" applyBorder="1"/>
    <xf numFmtId="0" fontId="77" fillId="29" borderId="29" xfId="224" applyFont="1" applyFill="1" applyBorder="1"/>
    <xf numFmtId="0" fontId="121" fillId="0" borderId="0" xfId="224" applyFont="1" applyFill="1"/>
    <xf numFmtId="0" fontId="120" fillId="0" borderId="0" xfId="237" applyFont="1"/>
    <xf numFmtId="165" fontId="75" fillId="29" borderId="7" xfId="162" applyNumberFormat="1" applyFont="1" applyFill="1" applyBorder="1" applyAlignment="1">
      <alignment horizontal="center" vertical="center" wrapText="1"/>
    </xf>
    <xf numFmtId="0" fontId="77" fillId="0" borderId="0" xfId="0" applyFont="1" applyAlignment="1">
      <alignment wrapText="1"/>
    </xf>
    <xf numFmtId="0" fontId="121" fillId="0" borderId="0" xfId="0" applyFont="1" applyBorder="1" applyAlignment="1"/>
    <xf numFmtId="0" fontId="77" fillId="0" borderId="0" xfId="0" applyFont="1" applyBorder="1"/>
    <xf numFmtId="0" fontId="123" fillId="0" borderId="0" xfId="0" applyFont="1"/>
    <xf numFmtId="0" fontId="121" fillId="0" borderId="0" xfId="0" applyFont="1" applyAlignment="1">
      <alignment horizontal="left"/>
    </xf>
    <xf numFmtId="0" fontId="121" fillId="0" borderId="0" xfId="0" applyFont="1"/>
    <xf numFmtId="0" fontId="83" fillId="0" borderId="0" xfId="0" applyFont="1"/>
    <xf numFmtId="0" fontId="121" fillId="0" borderId="0" xfId="224" applyFont="1" applyFill="1" applyBorder="1" applyAlignment="1">
      <alignment horizontal="center" vertical="top" wrapText="1"/>
    </xf>
    <xf numFmtId="0" fontId="77" fillId="0" borderId="0" xfId="0" applyFont="1" applyAlignment="1">
      <alignment vertical="center"/>
    </xf>
    <xf numFmtId="0" fontId="121" fillId="0" borderId="0" xfId="0" applyFont="1" applyAlignment="1">
      <alignment vertical="top" wrapText="1"/>
    </xf>
    <xf numFmtId="0" fontId="121" fillId="0" borderId="0" xfId="0" applyFont="1" applyAlignment="1">
      <alignment horizontal="left" vertical="top" wrapText="1"/>
    </xf>
    <xf numFmtId="0" fontId="77" fillId="0" borderId="0" xfId="0" applyFont="1" applyAlignment="1">
      <alignment horizontal="left"/>
    </xf>
    <xf numFmtId="0" fontId="120" fillId="0" borderId="0" xfId="224" applyFont="1" applyFill="1" applyBorder="1" applyAlignment="1">
      <alignment horizontal="left" vertical="top" wrapText="1"/>
    </xf>
    <xf numFmtId="0" fontId="77" fillId="0" borderId="0" xfId="236" applyFont="1"/>
    <xf numFmtId="0" fontId="121" fillId="0" borderId="0" xfId="236" applyFont="1" applyAlignment="1">
      <alignment vertical="top" wrapText="1"/>
    </xf>
    <xf numFmtId="0" fontId="121" fillId="0" borderId="0" xfId="236" applyFont="1" applyAlignment="1">
      <alignment horizontal="left" vertical="top" wrapText="1"/>
    </xf>
    <xf numFmtId="0" fontId="77" fillId="0" borderId="0" xfId="236" applyFont="1" applyAlignment="1">
      <alignment wrapText="1"/>
    </xf>
    <xf numFmtId="0" fontId="121" fillId="0" borderId="0" xfId="236" applyFont="1" applyAlignment="1">
      <alignment horizontal="left" wrapText="1"/>
    </xf>
    <xf numFmtId="0" fontId="77" fillId="0" borderId="0" xfId="236" applyFont="1" applyAlignment="1">
      <alignment horizontal="left" wrapText="1"/>
    </xf>
    <xf numFmtId="0" fontId="120" fillId="0" borderId="0" xfId="224" applyFont="1" applyAlignment="1">
      <alignment horizontal="left" vertical="top"/>
    </xf>
    <xf numFmtId="0" fontId="121" fillId="0" borderId="0" xfId="237" applyFont="1" applyAlignment="1">
      <alignment horizontal="left"/>
    </xf>
    <xf numFmtId="0" fontId="73" fillId="29" borderId="16" xfId="0" applyFont="1" applyFill="1" applyBorder="1" applyAlignment="1">
      <alignment horizontal="center" vertical="center" wrapText="1"/>
    </xf>
    <xf numFmtId="165" fontId="75" fillId="30" borderId="15" xfId="162" applyNumberFormat="1" applyFont="1" applyFill="1" applyBorder="1" applyAlignment="1">
      <alignment horizontal="center"/>
    </xf>
    <xf numFmtId="0" fontId="75" fillId="0" borderId="0" xfId="224" applyFont="1"/>
    <xf numFmtId="165" fontId="75" fillId="30" borderId="12" xfId="162" applyNumberFormat="1" applyFont="1" applyFill="1" applyBorder="1" applyAlignment="1">
      <alignment horizontal="center"/>
    </xf>
    <xf numFmtId="0" fontId="8" fillId="0" borderId="22" xfId="224" applyFont="1" applyFill="1" applyBorder="1" applyAlignment="1">
      <alignment horizontal="left" vertical="center" wrapText="1"/>
    </xf>
    <xf numFmtId="0" fontId="72" fillId="28" borderId="0" xfId="0" applyFont="1" applyFill="1" applyBorder="1" applyAlignment="1">
      <alignment vertical="center" wrapText="1"/>
    </xf>
    <xf numFmtId="165" fontId="77" fillId="30" borderId="15" xfId="162" applyNumberFormat="1" applyFont="1" applyFill="1" applyBorder="1" applyAlignment="1">
      <alignment horizontal="left" vertical="center" wrapText="1"/>
    </xf>
    <xf numFmtId="165" fontId="77" fillId="30" borderId="16" xfId="162" applyNumberFormat="1" applyFont="1" applyFill="1" applyBorder="1" applyAlignment="1">
      <alignment horizontal="left" vertical="center" wrapText="1"/>
    </xf>
    <xf numFmtId="165" fontId="72" fillId="30" borderId="12" xfId="162" applyNumberFormat="1" applyFont="1" applyFill="1" applyBorder="1" applyAlignment="1">
      <alignment horizontal="left" vertical="center" wrapText="1"/>
    </xf>
    <xf numFmtId="165" fontId="77" fillId="30" borderId="12" xfId="162" applyNumberFormat="1" applyFont="1" applyFill="1" applyBorder="1" applyAlignment="1">
      <alignment horizontal="left" vertical="center" wrapText="1"/>
    </xf>
    <xf numFmtId="0" fontId="72" fillId="28" borderId="0" xfId="0" applyFont="1" applyFill="1" applyBorder="1" applyAlignment="1">
      <alignment horizontal="left" vertical="center" wrapText="1"/>
    </xf>
    <xf numFmtId="0" fontId="77" fillId="0" borderId="0" xfId="0" applyFont="1" applyFill="1" applyBorder="1" applyAlignment="1">
      <alignment horizontal="left" vertical="center" wrapText="1"/>
    </xf>
    <xf numFmtId="0" fontId="121" fillId="0" borderId="0" xfId="0" applyFont="1" applyAlignment="1">
      <alignment horizontal="left" vertical="top" wrapText="1"/>
    </xf>
    <xf numFmtId="0" fontId="121" fillId="0" borderId="0" xfId="0" applyFont="1" applyAlignment="1">
      <alignment horizontal="left" vertical="top"/>
    </xf>
    <xf numFmtId="165" fontId="75" fillId="31" borderId="15" xfId="162" applyNumberFormat="1" applyFont="1" applyFill="1" applyBorder="1" applyAlignment="1" applyProtection="1">
      <alignment horizontal="left" vertical="center" wrapText="1"/>
    </xf>
    <xf numFmtId="165" fontId="75" fillId="31" borderId="15" xfId="162" applyNumberFormat="1" applyFont="1" applyFill="1" applyBorder="1" applyAlignment="1" applyProtection="1">
      <alignment horizontal="center" wrapText="1"/>
    </xf>
    <xf numFmtId="165" fontId="77" fillId="31" borderId="12" xfId="162" applyNumberFormat="1" applyFont="1" applyFill="1" applyBorder="1" applyAlignment="1" applyProtection="1">
      <alignment horizontal="center" vertical="top" wrapText="1"/>
    </xf>
    <xf numFmtId="165" fontId="75" fillId="31" borderId="12" xfId="162" applyNumberFormat="1" applyFont="1" applyFill="1" applyBorder="1" applyAlignment="1" applyProtection="1">
      <alignment horizontal="center" wrapText="1"/>
    </xf>
    <xf numFmtId="165" fontId="75" fillId="31" borderId="7" xfId="162" applyNumberFormat="1" applyFont="1" applyFill="1" applyBorder="1" applyProtection="1"/>
    <xf numFmtId="165" fontId="73" fillId="31" borderId="12" xfId="162" applyNumberFormat="1" applyFont="1" applyFill="1" applyBorder="1" applyAlignment="1" applyProtection="1">
      <alignment horizontal="right" vertical="center" wrapText="1"/>
    </xf>
    <xf numFmtId="165" fontId="72" fillId="31" borderId="12" xfId="162" applyNumberFormat="1" applyFont="1" applyFill="1" applyBorder="1" applyAlignment="1" applyProtection="1">
      <alignment horizontal="right" vertical="center" wrapText="1"/>
    </xf>
    <xf numFmtId="165" fontId="73" fillId="31" borderId="7" xfId="162" applyNumberFormat="1" applyFont="1" applyFill="1" applyBorder="1" applyAlignment="1" applyProtection="1">
      <alignment horizontal="right" vertical="center" wrapText="1"/>
    </xf>
    <xf numFmtId="165" fontId="75" fillId="31" borderId="18" xfId="162" applyNumberFormat="1" applyFont="1" applyFill="1" applyBorder="1" applyAlignment="1">
      <alignment horizontal="right" vertical="top" wrapText="1"/>
    </xf>
    <xf numFmtId="165" fontId="75" fillId="31" borderId="7" xfId="162" applyNumberFormat="1" applyFont="1" applyFill="1" applyBorder="1" applyAlignment="1">
      <alignment horizontal="right" vertical="top" wrapText="1"/>
    </xf>
    <xf numFmtId="165" fontId="75" fillId="31" borderId="16" xfId="162" applyNumberFormat="1" applyFont="1" applyFill="1" applyBorder="1" applyAlignment="1">
      <alignment horizontal="right" vertical="top" wrapText="1"/>
    </xf>
    <xf numFmtId="0" fontId="11" fillId="0" borderId="0" xfId="0" applyFont="1" applyAlignment="1">
      <alignment horizontal="left" vertical="top"/>
    </xf>
    <xf numFmtId="165" fontId="10" fillId="30" borderId="15" xfId="162" applyNumberFormat="1" applyFont="1" applyFill="1" applyBorder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0" fontId="47" fillId="0" borderId="0" xfId="0" applyFont="1" applyAlignment="1">
      <alignment horizontal="right" vertical="top"/>
    </xf>
    <xf numFmtId="0" fontId="47" fillId="0" borderId="0" xfId="224" applyFont="1" applyAlignment="1">
      <alignment horizontal="right" vertical="top"/>
    </xf>
    <xf numFmtId="0" fontId="10" fillId="0" borderId="0" xfId="224" applyFont="1" applyFill="1" applyBorder="1" applyAlignment="1">
      <alignment horizontal="right" vertical="top" wrapText="1"/>
    </xf>
    <xf numFmtId="0" fontId="10" fillId="28" borderId="0" xfId="0" applyFont="1" applyFill="1" applyBorder="1" applyAlignment="1">
      <alignment horizontal="right" vertical="top" wrapText="1"/>
    </xf>
    <xf numFmtId="165" fontId="10" fillId="31" borderId="21" xfId="162" applyNumberFormat="1" applyFont="1" applyFill="1" applyBorder="1" applyAlignment="1">
      <alignment horizontal="right" vertical="top" wrapText="1"/>
    </xf>
    <xf numFmtId="0" fontId="0" fillId="0" borderId="0" xfId="0" applyAlignment="1">
      <alignment horizontal="right" vertical="top"/>
    </xf>
    <xf numFmtId="0" fontId="47" fillId="0" borderId="0" xfId="0" applyFont="1" applyAlignment="1">
      <alignment horizontal="left"/>
    </xf>
    <xf numFmtId="0" fontId="47" fillId="0" borderId="0" xfId="0" applyFont="1" applyAlignment="1">
      <alignment horizontal="left" vertical="top"/>
    </xf>
    <xf numFmtId="0" fontId="120" fillId="28" borderId="0" xfId="224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19" fillId="0" borderId="0" xfId="0" applyFont="1" applyAlignment="1">
      <alignment horizontal="left" vertical="top"/>
    </xf>
    <xf numFmtId="0" fontId="47" fillId="0" borderId="0" xfId="224" applyFont="1" applyAlignment="1">
      <alignment horizontal="left"/>
    </xf>
    <xf numFmtId="0" fontId="47" fillId="0" borderId="0" xfId="224" applyFont="1" applyAlignment="1">
      <alignment horizontal="left" vertical="top"/>
    </xf>
    <xf numFmtId="0" fontId="47" fillId="0" borderId="0" xfId="0" applyFont="1" applyBorder="1"/>
    <xf numFmtId="0" fontId="121" fillId="0" borderId="0" xfId="0" applyFont="1" applyBorder="1"/>
    <xf numFmtId="0" fontId="121" fillId="0" borderId="32" xfId="0" applyFont="1" applyBorder="1" applyAlignment="1">
      <alignment wrapText="1"/>
    </xf>
    <xf numFmtId="0" fontId="121" fillId="0" borderId="32" xfId="0" applyFont="1" applyBorder="1" applyAlignment="1">
      <alignment horizontal="right" wrapText="1"/>
    </xf>
    <xf numFmtId="165" fontId="77" fillId="31" borderId="12" xfId="162" applyNumberFormat="1" applyFont="1" applyFill="1" applyBorder="1" applyAlignment="1">
      <alignment vertical="top" wrapText="1"/>
    </xf>
    <xf numFmtId="165" fontId="72" fillId="31" borderId="7" xfId="162" applyNumberFormat="1" applyFont="1" applyFill="1" applyBorder="1" applyAlignment="1" applyProtection="1">
      <alignment horizontal="right" vertical="center" wrapText="1"/>
    </xf>
    <xf numFmtId="165" fontId="77" fillId="33" borderId="12" xfId="162" applyNumberFormat="1" applyFont="1" applyFill="1" applyBorder="1" applyAlignment="1" applyProtection="1">
      <alignment vertical="top" wrapText="1"/>
      <protection locked="0"/>
    </xf>
    <xf numFmtId="165" fontId="72" fillId="33" borderId="16" xfId="162" applyNumberFormat="1" applyFont="1" applyFill="1" applyBorder="1" applyAlignment="1" applyProtection="1">
      <alignment horizontal="right" vertical="center" wrapText="1"/>
      <protection locked="0"/>
    </xf>
    <xf numFmtId="165" fontId="72" fillId="33" borderId="12" xfId="162" applyNumberFormat="1" applyFont="1" applyFill="1" applyBorder="1" applyAlignment="1" applyProtection="1">
      <alignment horizontal="right" vertical="center" wrapText="1"/>
      <protection locked="0"/>
    </xf>
    <xf numFmtId="165" fontId="77" fillId="33" borderId="16" xfId="162" applyNumberFormat="1" applyFont="1" applyFill="1" applyBorder="1" applyAlignment="1" applyProtection="1">
      <alignment horizontal="right" vertical="top" wrapText="1"/>
      <protection locked="0"/>
    </xf>
    <xf numFmtId="165" fontId="77" fillId="33" borderId="12" xfId="162" applyNumberFormat="1" applyFont="1" applyFill="1" applyBorder="1" applyAlignment="1" applyProtection="1">
      <alignment horizontal="right" vertical="top" wrapText="1"/>
      <protection locked="0"/>
    </xf>
    <xf numFmtId="165" fontId="72" fillId="33" borderId="18" xfId="162" applyNumberFormat="1" applyFont="1" applyFill="1" applyBorder="1" applyAlignment="1" applyProtection="1">
      <alignment horizontal="right" vertical="top" wrapText="1"/>
      <protection locked="0"/>
    </xf>
    <xf numFmtId="165" fontId="75" fillId="33" borderId="15" xfId="162" applyNumberFormat="1" applyFont="1" applyFill="1" applyBorder="1" applyAlignment="1" applyProtection="1">
      <alignment vertical="center" wrapText="1"/>
      <protection locked="0"/>
    </xf>
    <xf numFmtId="165" fontId="10" fillId="33" borderId="12" xfId="162" applyNumberFormat="1" applyFont="1" applyFill="1" applyBorder="1" applyAlignment="1" applyProtection="1">
      <alignment vertical="center" wrapText="1"/>
      <protection locked="0"/>
    </xf>
    <xf numFmtId="165" fontId="10" fillId="33" borderId="17" xfId="162" applyNumberFormat="1" applyFont="1" applyFill="1" applyBorder="1" applyAlignment="1" applyProtection="1">
      <alignment vertical="center" wrapText="1"/>
      <protection locked="0"/>
    </xf>
    <xf numFmtId="165" fontId="10" fillId="33" borderId="21" xfId="162" applyNumberFormat="1" applyFont="1" applyFill="1" applyBorder="1" applyAlignment="1" applyProtection="1">
      <alignment horizontal="right" vertical="top" wrapText="1"/>
      <protection locked="0"/>
    </xf>
    <xf numFmtId="165" fontId="10" fillId="33" borderId="15" xfId="162" applyNumberFormat="1" applyFont="1" applyFill="1" applyBorder="1" applyAlignment="1" applyProtection="1">
      <alignment horizontal="left" vertical="center" wrapText="1"/>
      <protection locked="0"/>
    </xf>
    <xf numFmtId="165" fontId="10" fillId="33" borderId="16" xfId="162" applyNumberFormat="1" applyFont="1" applyFill="1" applyBorder="1" applyAlignment="1" applyProtection="1">
      <alignment horizontal="left" vertical="center" wrapText="1"/>
      <protection locked="0"/>
    </xf>
    <xf numFmtId="165" fontId="10" fillId="33" borderId="12" xfId="162" applyNumberFormat="1" applyFont="1" applyFill="1" applyBorder="1" applyAlignment="1" applyProtection="1">
      <alignment horizontal="left" vertical="center" wrapText="1"/>
      <protection locked="0"/>
    </xf>
    <xf numFmtId="165" fontId="10" fillId="33" borderId="18" xfId="162" applyNumberFormat="1" applyFont="1" applyFill="1" applyBorder="1" applyAlignment="1" applyProtection="1">
      <alignment horizontal="left" vertical="center" wrapText="1"/>
      <protection locked="0"/>
    </xf>
    <xf numFmtId="165" fontId="75" fillId="33" borderId="16" xfId="162" applyNumberFormat="1" applyFont="1" applyFill="1" applyBorder="1" applyAlignment="1" applyProtection="1">
      <protection locked="0"/>
    </xf>
    <xf numFmtId="165" fontId="75" fillId="33" borderId="12" xfId="162" applyNumberFormat="1" applyFont="1" applyFill="1" applyBorder="1" applyAlignment="1" applyProtection="1">
      <protection locked="0"/>
    </xf>
    <xf numFmtId="165" fontId="73" fillId="33" borderId="15" xfId="162" applyNumberFormat="1" applyFont="1" applyFill="1" applyBorder="1" applyAlignment="1" applyProtection="1">
      <alignment horizontal="center" vertical="top" wrapText="1"/>
      <protection locked="0"/>
    </xf>
    <xf numFmtId="165" fontId="7" fillId="33" borderId="12" xfId="162" applyNumberFormat="1" applyFont="1" applyFill="1" applyBorder="1" applyAlignment="1" applyProtection="1">
      <alignment horizontal="center" vertical="top" wrapText="1"/>
      <protection locked="0"/>
    </xf>
    <xf numFmtId="165" fontId="7" fillId="33" borderId="18" xfId="162" applyNumberFormat="1" applyFont="1" applyFill="1" applyBorder="1" applyAlignment="1" applyProtection="1">
      <alignment horizontal="center" vertical="top" wrapText="1"/>
      <protection locked="0"/>
    </xf>
    <xf numFmtId="165" fontId="7" fillId="33" borderId="17" xfId="162" applyNumberFormat="1" applyFont="1" applyFill="1" applyBorder="1" applyAlignment="1" applyProtection="1">
      <alignment horizontal="center" vertical="top" wrapText="1"/>
      <protection locked="0"/>
    </xf>
    <xf numFmtId="165" fontId="75" fillId="33" borderId="15" xfId="162" applyNumberFormat="1" applyFont="1" applyFill="1" applyBorder="1" applyAlignment="1" applyProtection="1">
      <alignment horizontal="justify" vertical="top" wrapText="1"/>
      <protection locked="0"/>
    </xf>
    <xf numFmtId="165" fontId="10" fillId="33" borderId="12" xfId="162" applyNumberFormat="1" applyFont="1" applyFill="1" applyBorder="1" applyAlignment="1" applyProtection="1">
      <alignment horizontal="justify" vertical="top" wrapText="1"/>
      <protection locked="0"/>
    </xf>
    <xf numFmtId="165" fontId="10" fillId="33" borderId="16" xfId="162" applyNumberFormat="1" applyFont="1" applyFill="1" applyBorder="1" applyAlignment="1" applyProtection="1">
      <alignment horizontal="justify" vertical="top" wrapText="1"/>
      <protection locked="0"/>
    </xf>
    <xf numFmtId="165" fontId="75" fillId="33" borderId="12" xfId="162" applyNumberFormat="1" applyFont="1" applyFill="1" applyBorder="1" applyAlignment="1" applyProtection="1">
      <alignment vertical="top" wrapText="1"/>
      <protection locked="0"/>
    </xf>
    <xf numFmtId="165" fontId="10" fillId="33" borderId="17" xfId="162" applyNumberFormat="1" applyFont="1" applyFill="1" applyBorder="1" applyAlignment="1" applyProtection="1">
      <alignment horizontal="justify" vertical="top" wrapText="1"/>
      <protection locked="0"/>
    </xf>
    <xf numFmtId="165" fontId="10" fillId="33" borderId="12" xfId="162" applyNumberFormat="1" applyFont="1" applyFill="1" applyBorder="1" applyAlignment="1" applyProtection="1">
      <alignment vertical="top" wrapText="1"/>
      <protection locked="0"/>
    </xf>
    <xf numFmtId="165" fontId="4" fillId="33" borderId="15" xfId="162" applyNumberFormat="1" applyFont="1" applyFill="1" applyBorder="1" applyProtection="1">
      <protection locked="0"/>
    </xf>
    <xf numFmtId="165" fontId="4" fillId="33" borderId="12" xfId="162" applyNumberFormat="1" applyFont="1" applyFill="1" applyBorder="1" applyProtection="1">
      <protection locked="0"/>
    </xf>
    <xf numFmtId="165" fontId="4" fillId="33" borderId="17" xfId="162" applyNumberFormat="1" applyFont="1" applyFill="1" applyBorder="1" applyProtection="1">
      <protection locked="0"/>
    </xf>
    <xf numFmtId="0" fontId="121" fillId="0" borderId="0" xfId="237" applyFont="1" applyFill="1"/>
    <xf numFmtId="165" fontId="75" fillId="33" borderId="19" xfId="162" applyNumberFormat="1" applyFont="1" applyFill="1" applyBorder="1" applyAlignment="1" applyProtection="1">
      <alignment vertical="top" wrapText="1"/>
      <protection locked="0"/>
    </xf>
    <xf numFmtId="165" fontId="75" fillId="33" borderId="18" xfId="162" applyNumberFormat="1" applyFont="1" applyFill="1" applyBorder="1" applyAlignment="1" applyProtection="1">
      <alignment vertical="top" wrapText="1"/>
      <protection locked="0"/>
    </xf>
    <xf numFmtId="165" fontId="10" fillId="33" borderId="25" xfId="162" applyNumberFormat="1" applyFont="1" applyFill="1" applyBorder="1" applyAlignment="1" applyProtection="1">
      <alignment vertical="top" wrapText="1"/>
      <protection locked="0"/>
    </xf>
    <xf numFmtId="165" fontId="75" fillId="33" borderId="15" xfId="162" applyNumberFormat="1" applyFont="1" applyFill="1" applyBorder="1" applyAlignment="1" applyProtection="1">
      <alignment vertical="top" wrapText="1"/>
      <protection locked="0"/>
    </xf>
    <xf numFmtId="165" fontId="10" fillId="33" borderId="17" xfId="162" applyNumberFormat="1" applyFont="1" applyFill="1" applyBorder="1" applyAlignment="1" applyProtection="1">
      <alignment vertical="top" wrapText="1"/>
      <protection locked="0"/>
    </xf>
    <xf numFmtId="165" fontId="75" fillId="33" borderId="17" xfId="162" applyNumberFormat="1" applyFont="1" applyFill="1" applyBorder="1" applyAlignment="1" applyProtection="1">
      <alignment horizontal="center" vertical="center" wrapText="1"/>
      <protection locked="0"/>
    </xf>
    <xf numFmtId="165" fontId="77" fillId="33" borderId="12" xfId="162" applyNumberFormat="1" applyFont="1" applyFill="1" applyBorder="1" applyAlignment="1" applyProtection="1">
      <alignment horizontal="center" vertical="top" wrapText="1"/>
      <protection locked="0"/>
    </xf>
    <xf numFmtId="165" fontId="7" fillId="33" borderId="12" xfId="162" applyNumberFormat="1" applyFont="1" applyFill="1" applyBorder="1" applyAlignment="1" applyProtection="1">
      <alignment horizontal="center" vertical="center" wrapText="1"/>
      <protection locked="0"/>
    </xf>
    <xf numFmtId="165" fontId="75" fillId="33" borderId="12" xfId="162" applyNumberFormat="1" applyFont="1" applyFill="1" applyBorder="1" applyAlignment="1" applyProtection="1">
      <alignment horizontal="left" vertical="center" wrapText="1"/>
      <protection locked="0"/>
    </xf>
    <xf numFmtId="165" fontId="73" fillId="33" borderId="12" xfId="162" applyNumberFormat="1" applyFont="1" applyFill="1" applyBorder="1" applyAlignment="1" applyProtection="1">
      <alignment horizontal="center" vertical="center" wrapText="1"/>
      <protection locked="0"/>
    </xf>
    <xf numFmtId="165" fontId="75" fillId="33" borderId="16" xfId="162" applyNumberFormat="1" applyFont="1" applyFill="1" applyBorder="1" applyAlignment="1" applyProtection="1">
      <alignment vertical="center" wrapText="1"/>
      <protection locked="0"/>
    </xf>
    <xf numFmtId="165" fontId="75" fillId="33" borderId="12" xfId="162" applyNumberFormat="1" applyFont="1" applyFill="1" applyBorder="1" applyAlignment="1" applyProtection="1">
      <alignment vertical="center" wrapText="1"/>
      <protection locked="0"/>
    </xf>
    <xf numFmtId="165" fontId="75" fillId="33" borderId="15" xfId="162" applyNumberFormat="1" applyFont="1" applyFill="1" applyBorder="1" applyAlignment="1" applyProtection="1">
      <alignment horizontal="left" vertical="center" wrapText="1"/>
      <protection locked="0"/>
    </xf>
    <xf numFmtId="165" fontId="77" fillId="33" borderId="16" xfId="162" applyNumberFormat="1" applyFont="1" applyFill="1" applyBorder="1" applyAlignment="1" applyProtection="1">
      <alignment horizontal="left" vertical="center" wrapText="1"/>
      <protection locked="0"/>
    </xf>
    <xf numFmtId="165" fontId="75" fillId="33" borderId="16" xfId="162" applyNumberFormat="1" applyFont="1" applyFill="1" applyBorder="1" applyAlignment="1" applyProtection="1">
      <alignment horizontal="left" vertical="center" wrapText="1"/>
      <protection locked="0"/>
    </xf>
    <xf numFmtId="165" fontId="72" fillId="33" borderId="12" xfId="162" applyNumberFormat="1" applyFont="1" applyFill="1" applyBorder="1" applyAlignment="1" applyProtection="1">
      <alignment horizontal="left" vertical="center" wrapText="1"/>
      <protection locked="0"/>
    </xf>
    <xf numFmtId="165" fontId="77" fillId="33" borderId="12" xfId="162" applyNumberFormat="1" applyFont="1" applyFill="1" applyBorder="1" applyAlignment="1" applyProtection="1">
      <alignment horizontal="left" vertical="center" wrapText="1"/>
      <protection locked="0"/>
    </xf>
    <xf numFmtId="165" fontId="73" fillId="33" borderId="12" xfId="162" applyNumberFormat="1" applyFont="1" applyFill="1" applyBorder="1" applyAlignment="1" applyProtection="1">
      <alignment horizontal="left" vertical="center" wrapText="1"/>
      <protection locked="0"/>
    </xf>
    <xf numFmtId="165" fontId="73" fillId="33" borderId="15" xfId="162" applyNumberFormat="1" applyFont="1" applyFill="1" applyBorder="1" applyAlignment="1" applyProtection="1">
      <alignment horizontal="left" vertical="center" wrapText="1"/>
      <protection locked="0"/>
    </xf>
    <xf numFmtId="165" fontId="73" fillId="33" borderId="17" xfId="162" applyNumberFormat="1" applyFont="1" applyFill="1" applyBorder="1" applyAlignment="1" applyProtection="1">
      <alignment horizontal="left" vertical="center" wrapText="1"/>
      <protection locked="0"/>
    </xf>
    <xf numFmtId="165" fontId="77" fillId="33" borderId="17" xfId="162" applyNumberFormat="1" applyFont="1" applyFill="1" applyBorder="1" applyAlignment="1" applyProtection="1">
      <alignment horizontal="left" vertical="center" wrapText="1"/>
      <protection locked="0"/>
    </xf>
    <xf numFmtId="165" fontId="75" fillId="33" borderId="16" xfId="162" applyNumberFormat="1" applyFont="1" applyFill="1" applyBorder="1" applyProtection="1">
      <protection locked="0"/>
    </xf>
    <xf numFmtId="165" fontId="75" fillId="33" borderId="12" xfId="162" applyNumberFormat="1" applyFont="1" applyFill="1" applyBorder="1" applyProtection="1">
      <protection locked="0"/>
    </xf>
    <xf numFmtId="165" fontId="77" fillId="33" borderId="18" xfId="162" applyNumberFormat="1" applyFont="1" applyFill="1" applyBorder="1" applyAlignment="1" applyProtection="1">
      <alignment horizontal="center" vertical="top" wrapText="1"/>
      <protection locked="0"/>
    </xf>
    <xf numFmtId="165" fontId="77" fillId="33" borderId="17" xfId="162" applyNumberFormat="1" applyFont="1" applyFill="1" applyBorder="1" applyAlignment="1" applyProtection="1">
      <alignment horizontal="center" vertical="top" wrapText="1"/>
      <protection locked="0"/>
    </xf>
    <xf numFmtId="165" fontId="72" fillId="33" borderId="12" xfId="162" applyNumberFormat="1" applyFont="1" applyFill="1" applyBorder="1" applyAlignment="1" applyProtection="1">
      <alignment horizontal="left" vertical="top" wrapText="1" indent="1"/>
      <protection locked="0"/>
    </xf>
    <xf numFmtId="165" fontId="72" fillId="33" borderId="17" xfId="162" applyNumberFormat="1" applyFont="1" applyFill="1" applyBorder="1" applyAlignment="1" applyProtection="1">
      <alignment horizontal="left" vertical="top" wrapText="1" indent="1"/>
      <protection locked="0"/>
    </xf>
    <xf numFmtId="165" fontId="73" fillId="34" borderId="12" xfId="162" applyNumberFormat="1" applyFont="1" applyFill="1" applyBorder="1" applyAlignment="1" applyProtection="1">
      <alignment wrapText="1"/>
      <protection locked="0"/>
    </xf>
    <xf numFmtId="165" fontId="72" fillId="34" borderId="12" xfId="162" applyNumberFormat="1" applyFont="1" applyFill="1" applyBorder="1" applyAlignment="1" applyProtection="1">
      <alignment horizontal="right" vertical="top" wrapText="1"/>
      <protection locked="0"/>
    </xf>
    <xf numFmtId="165" fontId="72" fillId="34" borderId="17" xfId="162" applyNumberFormat="1" applyFont="1" applyFill="1" applyBorder="1" applyAlignment="1" applyProtection="1">
      <alignment horizontal="right" vertical="top" wrapText="1"/>
      <protection locked="0"/>
    </xf>
    <xf numFmtId="165" fontId="10" fillId="34" borderId="12" xfId="162" applyNumberFormat="1" applyFont="1" applyFill="1" applyBorder="1" applyAlignment="1" applyProtection="1">
      <alignment horizontal="right" vertical="top" wrapText="1"/>
      <protection locked="0"/>
    </xf>
    <xf numFmtId="165" fontId="10" fillId="35" borderId="12" xfId="162" applyNumberFormat="1" applyFont="1" applyFill="1" applyBorder="1" applyAlignment="1" applyProtection="1">
      <alignment horizontal="right" vertical="top" wrapText="1"/>
      <protection locked="0"/>
    </xf>
    <xf numFmtId="166" fontId="77" fillId="35" borderId="12" xfId="162" applyNumberFormat="1" applyFont="1" applyFill="1" applyBorder="1" applyAlignment="1" applyProtection="1">
      <alignment vertical="top" wrapText="1"/>
      <protection locked="0"/>
    </xf>
    <xf numFmtId="166" fontId="77" fillId="35" borderId="18" xfId="162" applyNumberFormat="1" applyFont="1" applyFill="1" applyBorder="1" applyAlignment="1" applyProtection="1">
      <alignment vertical="top" wrapText="1"/>
      <protection locked="0"/>
    </xf>
    <xf numFmtId="3" fontId="10" fillId="35" borderId="12" xfId="162" applyNumberFormat="1" applyFont="1" applyFill="1" applyBorder="1" applyAlignment="1" applyProtection="1">
      <alignment vertical="top" wrapText="1"/>
      <protection locked="0"/>
    </xf>
    <xf numFmtId="165" fontId="75" fillId="31" borderId="7" xfId="162" applyNumberFormat="1" applyFont="1" applyFill="1" applyBorder="1" applyAlignment="1" applyProtection="1">
      <alignment horizontal="center" vertical="center" wrapText="1"/>
    </xf>
    <xf numFmtId="166" fontId="75" fillId="33" borderId="12" xfId="162" applyNumberFormat="1" applyFont="1" applyFill="1" applyBorder="1" applyAlignment="1" applyProtection="1">
      <alignment vertical="center" wrapText="1"/>
      <protection locked="0"/>
    </xf>
    <xf numFmtId="3" fontId="75" fillId="34" borderId="18" xfId="162" applyNumberFormat="1" applyFont="1" applyFill="1" applyBorder="1" applyAlignment="1" applyProtection="1">
      <alignment vertical="center" wrapText="1"/>
      <protection locked="0"/>
    </xf>
    <xf numFmtId="3" fontId="75" fillId="34" borderId="12" xfId="162" applyNumberFormat="1" applyFont="1" applyFill="1" applyBorder="1" applyAlignment="1" applyProtection="1">
      <alignment vertical="center" wrapText="1"/>
      <protection locked="0"/>
    </xf>
    <xf numFmtId="3" fontId="75" fillId="34" borderId="7" xfId="162" applyNumberFormat="1" applyFont="1" applyFill="1" applyBorder="1" applyAlignment="1" applyProtection="1">
      <alignment vertical="center"/>
      <protection locked="0"/>
    </xf>
    <xf numFmtId="3" fontId="75" fillId="34" borderId="25" xfId="162" applyNumberFormat="1" applyFont="1" applyFill="1" applyBorder="1" applyAlignment="1" applyProtection="1">
      <alignment vertical="center" wrapText="1"/>
      <protection locked="0"/>
    </xf>
    <xf numFmtId="165" fontId="73" fillId="31" borderId="12" xfId="162" applyNumberFormat="1" applyFont="1" applyFill="1" applyBorder="1" applyAlignment="1" applyProtection="1">
      <alignment horizontal="left" vertical="center" wrapText="1"/>
    </xf>
    <xf numFmtId="165" fontId="75" fillId="31" borderId="12" xfId="162" applyNumberFormat="1" applyFont="1" applyFill="1" applyBorder="1" applyAlignment="1" applyProtection="1">
      <alignment horizontal="left" vertical="center" wrapText="1"/>
    </xf>
    <xf numFmtId="165" fontId="73" fillId="31" borderId="7" xfId="162" applyNumberFormat="1" applyFont="1" applyFill="1" applyBorder="1" applyAlignment="1" applyProtection="1">
      <alignment horizontal="left" vertical="center" wrapText="1"/>
    </xf>
    <xf numFmtId="165" fontId="73" fillId="31" borderId="15" xfId="162" applyNumberFormat="1" applyFont="1" applyFill="1" applyBorder="1" applyAlignment="1" applyProtection="1">
      <alignment horizontal="left" vertical="center" wrapText="1"/>
    </xf>
    <xf numFmtId="165" fontId="73" fillId="31" borderId="7" xfId="162" applyNumberFormat="1" applyFont="1" applyFill="1" applyBorder="1" applyAlignment="1" applyProtection="1">
      <alignment vertical="center" wrapText="1"/>
    </xf>
    <xf numFmtId="0" fontId="121" fillId="0" borderId="0" xfId="224" applyFont="1"/>
    <xf numFmtId="165" fontId="10" fillId="33" borderId="15" xfId="162" applyNumberFormat="1" applyFont="1" applyFill="1" applyBorder="1" applyAlignment="1" applyProtection="1">
      <alignment horizontal="justify" vertical="top" wrapText="1"/>
      <protection locked="0"/>
    </xf>
    <xf numFmtId="165" fontId="10" fillId="33" borderId="7" xfId="162" applyNumberFormat="1" applyFont="1" applyFill="1" applyBorder="1" applyAlignment="1" applyProtection="1">
      <alignment horizontal="center" vertical="center" wrapText="1"/>
      <protection locked="0"/>
    </xf>
    <xf numFmtId="165" fontId="76" fillId="33" borderId="12" xfId="162" applyNumberFormat="1" applyFont="1" applyFill="1" applyBorder="1" applyAlignment="1" applyProtection="1">
      <alignment horizontal="left" vertical="center" wrapText="1"/>
      <protection locked="0"/>
    </xf>
    <xf numFmtId="165" fontId="7" fillId="33" borderId="18" xfId="162" applyNumberFormat="1" applyFont="1" applyFill="1" applyBorder="1" applyAlignment="1" applyProtection="1">
      <alignment horizontal="center" vertical="center" wrapText="1"/>
      <protection locked="0"/>
    </xf>
    <xf numFmtId="0" fontId="121" fillId="0" borderId="0" xfId="224" applyFont="1"/>
    <xf numFmtId="165" fontId="77" fillId="33" borderId="12" xfId="162" applyNumberFormat="1" applyFont="1" applyFill="1" applyBorder="1" applyAlignment="1" applyProtection="1">
      <alignment horizontal="center" vertical="center"/>
      <protection locked="0"/>
    </xf>
    <xf numFmtId="165" fontId="77" fillId="33" borderId="12" xfId="162" applyNumberFormat="1" applyFont="1" applyFill="1" applyBorder="1" applyAlignment="1" applyProtection="1">
      <alignment horizontal="center" vertical="center" wrapText="1"/>
      <protection locked="0"/>
    </xf>
    <xf numFmtId="165" fontId="77" fillId="30" borderId="12" xfId="162" applyNumberFormat="1" applyFont="1" applyFill="1" applyBorder="1" applyAlignment="1">
      <alignment horizontal="center" vertical="center" wrapText="1"/>
    </xf>
    <xf numFmtId="166" fontId="77" fillId="34" borderId="12" xfId="162" applyNumberFormat="1" applyFont="1" applyFill="1" applyBorder="1" applyAlignment="1" applyProtection="1">
      <alignment horizontal="center" vertical="center" wrapText="1"/>
      <protection locked="0"/>
    </xf>
    <xf numFmtId="166" fontId="77" fillId="34" borderId="12" xfId="162" applyNumberFormat="1" applyFont="1" applyFill="1" applyBorder="1" applyAlignment="1" applyProtection="1">
      <alignment horizontal="center" vertical="center"/>
      <protection locked="0"/>
    </xf>
    <xf numFmtId="166" fontId="75" fillId="34" borderId="17" xfId="162" applyNumberFormat="1" applyFont="1" applyFill="1" applyBorder="1" applyAlignment="1" applyProtection="1">
      <alignment horizontal="center" vertical="center" wrapText="1"/>
      <protection locked="0"/>
    </xf>
    <xf numFmtId="166" fontId="73" fillId="33" borderId="12" xfId="162" applyNumberFormat="1" applyFont="1" applyFill="1" applyBorder="1" applyAlignment="1" applyProtection="1">
      <alignment horizontal="right" vertical="center" wrapText="1"/>
      <protection locked="0"/>
    </xf>
    <xf numFmtId="0" fontId="121" fillId="0" borderId="0" xfId="224" applyFont="1" applyAlignment="1">
      <alignment horizontal="right"/>
    </xf>
    <xf numFmtId="165" fontId="75" fillId="31" borderId="7" xfId="162" applyNumberFormat="1" applyFont="1" applyFill="1" applyBorder="1" applyAlignment="1" applyProtection="1">
      <alignment horizontal="right" wrapText="1"/>
    </xf>
    <xf numFmtId="165" fontId="75" fillId="31" borderId="7" xfId="162" applyNumberFormat="1" applyFont="1" applyFill="1" applyBorder="1" applyAlignment="1">
      <alignment horizontal="right" wrapText="1"/>
    </xf>
    <xf numFmtId="165" fontId="73" fillId="31" borderId="16" xfId="162" applyNumberFormat="1" applyFont="1" applyFill="1" applyBorder="1" applyAlignment="1">
      <alignment horizontal="right" wrapText="1"/>
    </xf>
    <xf numFmtId="165" fontId="7" fillId="33" borderId="12" xfId="162" applyNumberFormat="1" applyFont="1" applyFill="1" applyBorder="1" applyAlignment="1" applyProtection="1">
      <alignment horizontal="right" wrapText="1"/>
      <protection locked="0"/>
    </xf>
    <xf numFmtId="165" fontId="73" fillId="31" borderId="12" xfId="162" applyNumberFormat="1" applyFont="1" applyFill="1" applyBorder="1" applyAlignment="1">
      <alignment horizontal="right" wrapText="1"/>
    </xf>
    <xf numFmtId="165" fontId="75" fillId="33" borderId="12" xfId="162" applyNumberFormat="1" applyFont="1" applyFill="1" applyBorder="1" applyAlignment="1" applyProtection="1">
      <alignment horizontal="right" wrapText="1"/>
      <protection locked="0"/>
    </xf>
    <xf numFmtId="165" fontId="75" fillId="33" borderId="18" xfId="162" applyNumberFormat="1" applyFont="1" applyFill="1" applyBorder="1" applyAlignment="1" applyProtection="1">
      <alignment horizontal="right" wrapText="1"/>
      <protection locked="0"/>
    </xf>
    <xf numFmtId="165" fontId="75" fillId="33" borderId="17" xfId="162" applyNumberFormat="1" applyFont="1" applyFill="1" applyBorder="1" applyAlignment="1" applyProtection="1">
      <alignment horizontal="right" wrapText="1"/>
      <protection locked="0"/>
    </xf>
    <xf numFmtId="165" fontId="73" fillId="33" borderId="16" xfId="162" applyNumberFormat="1" applyFont="1" applyFill="1" applyBorder="1" applyAlignment="1" applyProtection="1">
      <alignment horizontal="right" wrapText="1"/>
      <protection locked="0"/>
    </xf>
    <xf numFmtId="165" fontId="73" fillId="33" borderId="12" xfId="162" applyNumberFormat="1" applyFont="1" applyFill="1" applyBorder="1" applyAlignment="1" applyProtection="1">
      <alignment horizontal="right" wrapText="1"/>
      <protection locked="0"/>
    </xf>
    <xf numFmtId="165" fontId="77" fillId="31" borderId="12" xfId="162" applyNumberFormat="1" applyFont="1" applyFill="1" applyBorder="1" applyAlignment="1" applyProtection="1">
      <alignment horizontal="right" vertical="top" wrapText="1"/>
    </xf>
    <xf numFmtId="0" fontId="124" fillId="0" borderId="0" xfId="0" applyFont="1"/>
    <xf numFmtId="0" fontId="84" fillId="0" borderId="0" xfId="0" applyFont="1" applyBorder="1"/>
    <xf numFmtId="0" fontId="84" fillId="0" borderId="0" xfId="0" applyFont="1"/>
    <xf numFmtId="0" fontId="85" fillId="0" borderId="0" xfId="0" applyFont="1" applyAlignment="1">
      <alignment vertical="center"/>
    </xf>
    <xf numFmtId="0" fontId="85" fillId="0" borderId="0" xfId="0" applyFont="1"/>
    <xf numFmtId="0" fontId="9" fillId="29" borderId="19" xfId="0" applyFont="1" applyFill="1" applyBorder="1" applyAlignment="1">
      <alignment horizontal="center" vertical="center" wrapText="1"/>
    </xf>
    <xf numFmtId="0" fontId="121" fillId="0" borderId="0" xfId="0" applyFont="1" applyAlignment="1">
      <alignment horizontal="left" vertical="top"/>
    </xf>
    <xf numFmtId="0" fontId="51" fillId="29" borderId="19" xfId="224" applyFont="1" applyFill="1" applyBorder="1" applyAlignment="1">
      <alignment horizontal="center" vertical="center" wrapText="1"/>
    </xf>
    <xf numFmtId="0" fontId="4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4" fillId="0" borderId="0" xfId="0" applyFont="1" applyBorder="1" applyProtection="1"/>
    <xf numFmtId="0" fontId="5" fillId="0" borderId="0" xfId="0" applyFont="1" applyBorder="1" applyProtection="1"/>
    <xf numFmtId="0" fontId="11" fillId="0" borderId="13" xfId="0" applyFont="1" applyBorder="1" applyAlignment="1" applyProtection="1">
      <alignment horizontal="left" vertical="center"/>
    </xf>
    <xf numFmtId="0" fontId="4" fillId="0" borderId="13" xfId="0" applyFont="1" applyBorder="1" applyProtection="1"/>
    <xf numFmtId="0" fontId="4" fillId="29" borderId="31" xfId="0" applyFont="1" applyFill="1" applyBorder="1" applyAlignment="1" applyProtection="1">
      <alignment vertical="center"/>
    </xf>
    <xf numFmtId="0" fontId="5" fillId="29" borderId="29" xfId="0" applyFont="1" applyFill="1" applyBorder="1" applyAlignment="1" applyProtection="1">
      <alignment horizontal="left" vertical="center" wrapText="1"/>
    </xf>
    <xf numFmtId="0" fontId="9" fillId="29" borderId="19" xfId="0" applyFont="1" applyFill="1" applyBorder="1" applyAlignment="1" applyProtection="1">
      <alignment horizontal="center" vertical="center" wrapText="1"/>
    </xf>
    <xf numFmtId="0" fontId="6" fillId="29" borderId="19" xfId="0" applyFont="1" applyFill="1" applyBorder="1" applyAlignment="1" applyProtection="1">
      <alignment horizontal="center" textRotation="90" wrapText="1"/>
    </xf>
    <xf numFmtId="0" fontId="5" fillId="29" borderId="19" xfId="0" applyFont="1" applyFill="1" applyBorder="1" applyAlignment="1" applyProtection="1">
      <alignment horizontal="center" vertical="center" wrapText="1"/>
    </xf>
    <xf numFmtId="0" fontId="119" fillId="0" borderId="0" xfId="0" applyFont="1" applyProtection="1"/>
    <xf numFmtId="165" fontId="77" fillId="0" borderId="0" xfId="162" applyNumberFormat="1" applyFont="1" applyProtection="1"/>
    <xf numFmtId="0" fontId="4" fillId="29" borderId="28" xfId="0" applyFont="1" applyFill="1" applyBorder="1" applyAlignment="1" applyProtection="1">
      <alignment vertical="center"/>
    </xf>
    <xf numFmtId="0" fontId="5" fillId="29" borderId="30" xfId="0" applyFont="1" applyFill="1" applyBorder="1" applyAlignment="1" applyProtection="1">
      <alignment horizontal="left" vertical="center" wrapText="1"/>
    </xf>
    <xf numFmtId="0" fontId="9" fillId="29" borderId="24" xfId="0" applyFont="1" applyFill="1" applyBorder="1" applyAlignment="1" applyProtection="1">
      <alignment horizontal="center" vertical="center" wrapText="1"/>
    </xf>
    <xf numFmtId="0" fontId="6" fillId="29" borderId="24" xfId="0" applyFont="1" applyFill="1" applyBorder="1" applyAlignment="1" applyProtection="1">
      <alignment horizontal="center" textRotation="90" wrapText="1"/>
    </xf>
    <xf numFmtId="0" fontId="7" fillId="29" borderId="7" xfId="0" quotePrefix="1" applyFont="1" applyFill="1" applyBorder="1" applyAlignment="1" applyProtection="1">
      <alignment horizontal="center" vertical="center" wrapText="1"/>
    </xf>
    <xf numFmtId="0" fontId="10" fillId="29" borderId="15" xfId="0" applyFont="1" applyFill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left" vertical="center" wrapText="1"/>
    </xf>
    <xf numFmtId="0" fontId="6" fillId="0" borderId="16" xfId="0" applyFont="1" applyBorder="1" applyAlignment="1" applyProtection="1">
      <alignment vertical="center" wrapText="1"/>
    </xf>
    <xf numFmtId="0" fontId="7" fillId="0" borderId="16" xfId="0" applyFont="1" applyBorder="1" applyAlignment="1" applyProtection="1">
      <alignment horizontal="center" vertical="center" wrapText="1"/>
    </xf>
    <xf numFmtId="165" fontId="72" fillId="31" borderId="16" xfId="162" applyNumberFormat="1" applyFont="1" applyFill="1" applyBorder="1" applyAlignment="1" applyProtection="1">
      <alignment horizontal="right" vertical="center" wrapText="1"/>
    </xf>
    <xf numFmtId="165" fontId="4" fillId="0" borderId="0" xfId="162" applyNumberFormat="1" applyFont="1" applyProtection="1"/>
    <xf numFmtId="0" fontId="10" fillId="29" borderId="12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left" vertical="center" wrapText="1" indent="1"/>
    </xf>
    <xf numFmtId="0" fontId="6" fillId="0" borderId="12" xfId="0" applyFont="1" applyFill="1" applyBorder="1" applyAlignment="1" applyProtection="1">
      <alignment horizontal="left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165" fontId="72" fillId="33" borderId="16" xfId="162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</xf>
    <xf numFmtId="165" fontId="72" fillId="33" borderId="12" xfId="162" applyNumberFormat="1" applyFont="1" applyFill="1" applyBorder="1" applyAlignment="1" applyProtection="1">
      <alignment horizontal="center" vertical="center" wrapText="1"/>
      <protection locked="0"/>
    </xf>
    <xf numFmtId="0" fontId="10" fillId="29" borderId="18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8" fillId="0" borderId="12" xfId="0" applyFont="1" applyFill="1" applyBorder="1" applyAlignment="1" applyProtection="1">
      <alignment horizontal="left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29" borderId="12" xfId="0" applyFont="1" applyFill="1" applyBorder="1" applyAlignment="1" applyProtection="1">
      <alignment horizontal="center" vertical="center" wrapText="1"/>
    </xf>
    <xf numFmtId="0" fontId="10" fillId="28" borderId="12" xfId="0" applyFont="1" applyFill="1" applyBorder="1" applyAlignment="1" applyProtection="1">
      <alignment horizontal="center" vertical="center" wrapText="1"/>
    </xf>
    <xf numFmtId="0" fontId="10" fillId="29" borderId="12" xfId="0" quotePrefix="1" applyFont="1" applyFill="1" applyBorder="1" applyAlignment="1" applyProtection="1">
      <alignment horizontal="center" vertical="center" wrapText="1"/>
    </xf>
    <xf numFmtId="0" fontId="10" fillId="28" borderId="12" xfId="0" applyFont="1" applyFill="1" applyBorder="1" applyAlignment="1" applyProtection="1">
      <alignment horizontal="left" vertical="center" wrapText="1" indent="1"/>
    </xf>
    <xf numFmtId="0" fontId="5" fillId="28" borderId="12" xfId="0" applyFont="1" applyFill="1" applyBorder="1" applyAlignment="1" applyProtection="1">
      <alignment horizontal="left" vertical="center" wrapText="1"/>
    </xf>
    <xf numFmtId="0" fontId="72" fillId="0" borderId="12" xfId="0" applyFont="1" applyFill="1" applyBorder="1" applyAlignment="1" applyProtection="1">
      <alignment horizontal="left" vertical="center" wrapText="1" indent="1"/>
    </xf>
    <xf numFmtId="0" fontId="72" fillId="28" borderId="12" xfId="0" applyFont="1" applyFill="1" applyBorder="1" applyAlignment="1" applyProtection="1">
      <alignment horizontal="left" vertical="center" wrapText="1" indent="2"/>
    </xf>
    <xf numFmtId="0" fontId="72" fillId="0" borderId="12" xfId="0" applyFont="1" applyFill="1" applyBorder="1" applyAlignment="1" applyProtection="1">
      <alignment horizontal="left" vertical="center" wrapText="1" indent="2"/>
    </xf>
    <xf numFmtId="165" fontId="72" fillId="34" borderId="12" xfId="162" applyNumberFormat="1" applyFont="1" applyFill="1" applyBorder="1" applyAlignment="1" applyProtection="1">
      <alignment horizontal="center" vertical="center" wrapText="1"/>
      <protection locked="0"/>
    </xf>
    <xf numFmtId="0" fontId="72" fillId="0" borderId="12" xfId="0" applyFont="1" applyBorder="1" applyAlignment="1" applyProtection="1">
      <alignment horizontal="left" vertical="center" wrapText="1" indent="2"/>
    </xf>
    <xf numFmtId="0" fontId="10" fillId="28" borderId="16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left" vertical="center" wrapText="1"/>
    </xf>
    <xf numFmtId="0" fontId="7" fillId="0" borderId="12" xfId="0" applyFont="1" applyBorder="1" applyAlignment="1" applyProtection="1">
      <alignment horizontal="left" vertical="center" wrapText="1" indent="1"/>
    </xf>
    <xf numFmtId="0" fontId="7" fillId="0" borderId="17" xfId="0" applyFont="1" applyBorder="1" applyAlignment="1" applyProtection="1">
      <alignment horizontal="left" vertical="center" wrapText="1" indent="1"/>
    </xf>
    <xf numFmtId="0" fontId="8" fillId="0" borderId="17" xfId="0" applyFont="1" applyFill="1" applyBorder="1" applyAlignment="1" applyProtection="1">
      <alignment horizontal="left" vertical="center" wrapText="1"/>
    </xf>
    <xf numFmtId="0" fontId="10" fillId="0" borderId="17" xfId="0" applyFont="1" applyFill="1" applyBorder="1" applyAlignment="1" applyProtection="1">
      <alignment horizontal="center" vertical="center" wrapText="1"/>
    </xf>
    <xf numFmtId="165" fontId="77" fillId="31" borderId="17" xfId="162" applyNumberFormat="1" applyFont="1" applyFill="1" applyBorder="1" applyAlignment="1" applyProtection="1">
      <alignment horizontal="right" vertical="top" wrapText="1"/>
    </xf>
    <xf numFmtId="0" fontId="7" fillId="29" borderId="7" xfId="0" applyFont="1" applyFill="1" applyBorder="1" applyAlignment="1" applyProtection="1">
      <alignment horizontal="center" vertical="center" wrapText="1"/>
    </xf>
    <xf numFmtId="0" fontId="125" fillId="0" borderId="0" xfId="0" applyFont="1" applyAlignment="1" applyProtection="1">
      <alignment horizontal="justify"/>
    </xf>
    <xf numFmtId="0" fontId="8" fillId="0" borderId="7" xfId="0" applyFont="1" applyFill="1" applyBorder="1" applyAlignment="1" applyProtection="1">
      <alignment horizontal="left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4" fillId="0" borderId="14" xfId="0" applyFont="1" applyBorder="1" applyProtection="1"/>
    <xf numFmtId="165" fontId="4" fillId="0" borderId="0" xfId="162" applyNumberFormat="1" applyFont="1" applyAlignment="1" applyProtection="1">
      <alignment horizontal="left" vertical="top"/>
    </xf>
    <xf numFmtId="165" fontId="4" fillId="0" borderId="0" xfId="162" applyNumberFormat="1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top"/>
    </xf>
    <xf numFmtId="0" fontId="78" fillId="0" borderId="0" xfId="0" applyFont="1" applyAlignment="1">
      <alignment horizontal="center"/>
    </xf>
    <xf numFmtId="0" fontId="75" fillId="0" borderId="0" xfId="0" applyFont="1" applyAlignment="1">
      <alignment horizontal="center"/>
    </xf>
    <xf numFmtId="0" fontId="75" fillId="0" borderId="0" xfId="0" applyFont="1" applyAlignment="1">
      <alignment horizontal="left"/>
    </xf>
    <xf numFmtId="0" fontId="79" fillId="29" borderId="19" xfId="0" applyFont="1" applyFill="1" applyBorder="1" applyAlignment="1">
      <alignment horizontal="center" textRotation="90" wrapText="1"/>
    </xf>
    <xf numFmtId="0" fontId="79" fillId="29" borderId="24" xfId="0" applyFont="1" applyFill="1" applyBorder="1" applyAlignment="1">
      <alignment horizontal="center" textRotation="90" wrapText="1"/>
    </xf>
    <xf numFmtId="165" fontId="72" fillId="31" borderId="16" xfId="162" applyNumberFormat="1" applyFont="1" applyFill="1" applyBorder="1" applyAlignment="1">
      <alignment horizontal="right" vertical="top" wrapText="1"/>
    </xf>
    <xf numFmtId="165" fontId="72" fillId="31" borderId="12" xfId="162" applyNumberFormat="1" applyFont="1" applyFill="1" applyBorder="1" applyAlignment="1">
      <alignment horizontal="right" vertical="top" wrapText="1"/>
    </xf>
    <xf numFmtId="166" fontId="73" fillId="33" borderId="12" xfId="162" applyNumberFormat="1" applyFont="1" applyFill="1" applyBorder="1" applyAlignment="1" applyProtection="1">
      <alignment horizontal="right" vertical="top" wrapText="1"/>
      <protection locked="0"/>
    </xf>
    <xf numFmtId="165" fontId="75" fillId="33" borderId="18" xfId="162" applyNumberFormat="1" applyFont="1" applyFill="1" applyBorder="1" applyAlignment="1" applyProtection="1">
      <alignment horizontal="left" vertical="center" wrapText="1"/>
      <protection locked="0"/>
    </xf>
    <xf numFmtId="165" fontId="75" fillId="33" borderId="17" xfId="162" applyNumberFormat="1" applyFont="1" applyFill="1" applyBorder="1" applyAlignment="1" applyProtection="1">
      <alignment horizontal="left" vertical="center" wrapText="1"/>
      <protection locked="0"/>
    </xf>
    <xf numFmtId="165" fontId="73" fillId="31" borderId="7" xfId="162" applyNumberFormat="1" applyFont="1" applyFill="1" applyBorder="1" applyAlignment="1">
      <alignment horizontal="right" vertical="top" wrapText="1"/>
    </xf>
    <xf numFmtId="0" fontId="77" fillId="0" borderId="0" xfId="0" applyFont="1" applyBorder="1" applyAlignment="1">
      <alignment horizontal="center" vertical="center"/>
    </xf>
    <xf numFmtId="0" fontId="121" fillId="0" borderId="0" xfId="0" applyFont="1" applyBorder="1" applyAlignment="1">
      <alignment horizontal="left"/>
    </xf>
    <xf numFmtId="0" fontId="121" fillId="0" borderId="0" xfId="0" applyFont="1" applyFill="1" applyAlignment="1">
      <alignment horizontal="left"/>
    </xf>
    <xf numFmtId="0" fontId="77" fillId="0" borderId="0" xfId="0" applyFont="1" applyBorder="1" applyAlignment="1">
      <alignment horizontal="left"/>
    </xf>
    <xf numFmtId="165" fontId="10" fillId="30" borderId="15" xfId="162" applyNumberFormat="1" applyFont="1" applyFill="1" applyBorder="1" applyAlignment="1">
      <alignment horizontal="right" wrapText="1"/>
    </xf>
    <xf numFmtId="165" fontId="75" fillId="34" borderId="12" xfId="162" applyNumberFormat="1" applyFont="1" applyFill="1" applyBorder="1" applyAlignment="1" applyProtection="1">
      <alignment horizontal="right" wrapText="1"/>
      <protection locked="0"/>
    </xf>
    <xf numFmtId="165" fontId="10" fillId="30" borderId="12" xfId="162" applyNumberFormat="1" applyFont="1" applyFill="1" applyBorder="1" applyAlignment="1">
      <alignment horizontal="right" wrapText="1"/>
    </xf>
    <xf numFmtId="165" fontId="77" fillId="33" borderId="12" xfId="162" applyNumberFormat="1" applyFont="1" applyFill="1" applyBorder="1" applyAlignment="1" applyProtection="1">
      <alignment horizontal="right" wrapText="1"/>
      <protection locked="0"/>
    </xf>
    <xf numFmtId="165" fontId="11" fillId="31" borderId="12" xfId="162" applyNumberFormat="1" applyFont="1" applyFill="1" applyBorder="1" applyAlignment="1">
      <alignment horizontal="right" vertical="top" wrapText="1"/>
    </xf>
    <xf numFmtId="165" fontId="77" fillId="31" borderId="12" xfId="162" applyNumberFormat="1" applyFont="1" applyFill="1" applyBorder="1" applyAlignment="1">
      <alignment horizontal="right" vertical="top" wrapText="1"/>
    </xf>
    <xf numFmtId="165" fontId="10" fillId="30" borderId="17" xfId="162" applyNumberFormat="1" applyFont="1" applyFill="1" applyBorder="1" applyAlignment="1">
      <alignment horizontal="right" wrapText="1"/>
    </xf>
    <xf numFmtId="165" fontId="11" fillId="31" borderId="7" xfId="162" applyNumberFormat="1" applyFont="1" applyFill="1" applyBorder="1" applyAlignment="1">
      <alignment horizontal="right" vertical="top" wrapText="1"/>
    </xf>
    <xf numFmtId="165" fontId="0" fillId="0" borderId="0" xfId="162" applyNumberFormat="1" applyFont="1"/>
    <xf numFmtId="165" fontId="84" fillId="0" borderId="0" xfId="162" applyNumberFormat="1" applyFont="1"/>
    <xf numFmtId="0" fontId="77" fillId="0" borderId="0" xfId="249" applyFont="1"/>
    <xf numFmtId="0" fontId="126" fillId="0" borderId="0" xfId="249" applyFont="1" applyAlignment="1">
      <alignment horizontal="left"/>
    </xf>
    <xf numFmtId="0" fontId="121" fillId="0" borderId="0" xfId="249" applyFont="1" applyAlignment="1">
      <alignment horizontal="left"/>
    </xf>
    <xf numFmtId="165" fontId="11" fillId="31" borderId="12" xfId="162" applyNumberFormat="1" applyFont="1" applyFill="1" applyBorder="1" applyAlignment="1">
      <alignment vertical="top" wrapText="1"/>
    </xf>
    <xf numFmtId="0" fontId="77" fillId="0" borderId="0" xfId="249" applyFont="1" applyFill="1"/>
    <xf numFmtId="165" fontId="75" fillId="30" borderId="7" xfId="162" applyNumberFormat="1" applyFont="1" applyFill="1" applyBorder="1" applyAlignment="1">
      <alignment vertical="top" wrapText="1"/>
    </xf>
    <xf numFmtId="0" fontId="121" fillId="0" borderId="0" xfId="224" applyFont="1" applyAlignment="1">
      <alignment horizontal="left" vertical="center"/>
    </xf>
    <xf numFmtId="165" fontId="10" fillId="30" borderId="12" xfId="162" applyNumberFormat="1" applyFont="1" applyFill="1" applyBorder="1" applyAlignment="1">
      <alignment vertical="center" wrapText="1"/>
    </xf>
    <xf numFmtId="165" fontId="75" fillId="31" borderId="19" xfId="162" applyNumberFormat="1" applyFont="1" applyFill="1" applyBorder="1" applyAlignment="1">
      <alignment horizontal="right" vertical="top" wrapText="1"/>
    </xf>
    <xf numFmtId="165" fontId="75" fillId="31" borderId="7" xfId="162" applyNumberFormat="1" applyFont="1" applyFill="1" applyBorder="1" applyAlignment="1">
      <alignment horizontal="right" vertical="top"/>
    </xf>
    <xf numFmtId="0" fontId="121" fillId="28" borderId="0" xfId="249" applyFont="1" applyFill="1" applyAlignment="1">
      <alignment horizontal="left" vertical="top" wrapText="1"/>
    </xf>
    <xf numFmtId="0" fontId="121" fillId="0" borderId="0" xfId="224" applyFont="1" applyFill="1" applyAlignment="1">
      <alignment horizontal="left" vertical="top"/>
    </xf>
    <xf numFmtId="0" fontId="27" fillId="26" borderId="33" xfId="219" applyBorder="1" applyAlignment="1">
      <alignment vertical="top"/>
    </xf>
    <xf numFmtId="0" fontId="27" fillId="26" borderId="0" xfId="219" applyBorder="1" applyAlignment="1">
      <alignment horizontal="left" vertical="top"/>
    </xf>
    <xf numFmtId="0" fontId="27" fillId="26" borderId="0" xfId="219" applyBorder="1" applyAlignment="1" applyProtection="1">
      <alignment horizontal="left" vertical="top"/>
      <protection hidden="1"/>
    </xf>
    <xf numFmtId="0" fontId="27" fillId="26" borderId="0" xfId="219" applyAlignment="1" applyProtection="1">
      <alignment vertical="top"/>
      <protection hidden="1"/>
    </xf>
    <xf numFmtId="0" fontId="27" fillId="26" borderId="33" xfId="219" applyBorder="1" applyAlignment="1">
      <alignment horizontal="left" vertical="top"/>
    </xf>
    <xf numFmtId="0" fontId="27" fillId="26" borderId="33" xfId="219" applyBorder="1" applyAlignment="1" applyProtection="1">
      <alignment vertical="top" wrapText="1"/>
      <protection hidden="1"/>
    </xf>
    <xf numFmtId="0" fontId="27" fillId="26" borderId="0" xfId="219" applyAlignment="1">
      <alignment vertical="top"/>
    </xf>
    <xf numFmtId="0" fontId="27" fillId="26" borderId="0" xfId="219" applyAlignment="1">
      <alignment horizontal="center" vertical="top"/>
    </xf>
    <xf numFmtId="0" fontId="21" fillId="31" borderId="33" xfId="176" applyNumberFormat="1" applyFill="1" applyBorder="1" applyAlignment="1">
      <alignment horizontal="left" vertical="top" wrapText="1"/>
    </xf>
    <xf numFmtId="0" fontId="27" fillId="26" borderId="33" xfId="219" applyBorder="1" applyAlignment="1">
      <alignment horizontal="center" vertical="top"/>
    </xf>
    <xf numFmtId="0" fontId="27" fillId="26" borderId="25" xfId="219" applyBorder="1" applyAlignment="1">
      <alignment horizontal="center" vertical="top"/>
    </xf>
    <xf numFmtId="0" fontId="27" fillId="26" borderId="25" xfId="219" applyBorder="1" applyAlignment="1">
      <alignment horizontal="left" vertical="top"/>
    </xf>
    <xf numFmtId="167" fontId="21" fillId="36" borderId="33" xfId="176" applyNumberFormat="1" applyFill="1" applyBorder="1" applyAlignment="1">
      <alignment horizontal="left" vertical="top" wrapText="1"/>
    </xf>
    <xf numFmtId="167" fontId="21" fillId="37" borderId="33" xfId="176" applyNumberFormat="1" applyFill="1" applyBorder="1" applyAlignment="1">
      <alignment horizontal="center" vertical="top"/>
    </xf>
    <xf numFmtId="0" fontId="127" fillId="38" borderId="25" xfId="219" applyFont="1" applyFill="1" applyBorder="1" applyAlignment="1">
      <alignment horizontal="center" vertical="top"/>
    </xf>
    <xf numFmtId="0" fontId="127" fillId="39" borderId="25" xfId="219" applyFont="1" applyFill="1" applyBorder="1" applyAlignment="1">
      <alignment horizontal="left" vertical="top"/>
    </xf>
    <xf numFmtId="167" fontId="21" fillId="4" borderId="0" xfId="176" applyNumberFormat="1" applyBorder="1" applyAlignment="1">
      <alignment horizontal="left" vertical="top" wrapText="1"/>
    </xf>
    <xf numFmtId="167" fontId="21" fillId="4" borderId="0" xfId="176" applyNumberFormat="1" applyBorder="1" applyAlignment="1">
      <alignment horizontal="center" vertical="top"/>
    </xf>
    <xf numFmtId="0" fontId="27" fillId="26" borderId="0" xfId="219" applyBorder="1" applyAlignment="1">
      <alignment horizontal="center" vertical="top"/>
    </xf>
    <xf numFmtId="0" fontId="87" fillId="0" borderId="0" xfId="0" applyFont="1"/>
    <xf numFmtId="0" fontId="10" fillId="0" borderId="0" xfId="0" applyFont="1"/>
    <xf numFmtId="0" fontId="128" fillId="26" borderId="33" xfId="219" applyFont="1" applyBorder="1" applyAlignment="1" applyProtection="1">
      <alignment vertical="top"/>
    </xf>
    <xf numFmtId="0" fontId="129" fillId="4" borderId="0" xfId="176" applyFont="1" applyBorder="1" applyAlignment="1" applyProtection="1">
      <alignment vertical="top"/>
    </xf>
    <xf numFmtId="0" fontId="129" fillId="40" borderId="33" xfId="176" applyFont="1" applyFill="1" applyBorder="1" applyAlignment="1" applyProtection="1">
      <alignment horizontal="center" vertical="top" wrapText="1"/>
    </xf>
    <xf numFmtId="0" fontId="129" fillId="31" borderId="33" xfId="176" applyFont="1" applyFill="1" applyBorder="1" applyAlignment="1" applyProtection="1">
      <alignment horizontal="center" vertical="top"/>
    </xf>
    <xf numFmtId="0" fontId="129" fillId="31" borderId="25" xfId="176" applyFont="1" applyFill="1" applyBorder="1" applyAlignment="1" applyProtection="1">
      <alignment horizontal="center" vertical="top"/>
    </xf>
    <xf numFmtId="0" fontId="129" fillId="36" borderId="25" xfId="176" applyFont="1" applyFill="1" applyBorder="1" applyAlignment="1" applyProtection="1">
      <alignment horizontal="center" vertical="top"/>
    </xf>
    <xf numFmtId="0" fontId="129" fillId="37" borderId="25" xfId="176" applyFont="1" applyFill="1" applyBorder="1" applyAlignment="1" applyProtection="1">
      <alignment horizontal="left" vertical="top"/>
    </xf>
    <xf numFmtId="0" fontId="130" fillId="38" borderId="0" xfId="219" applyFont="1" applyFill="1" applyBorder="1" applyAlignment="1" applyProtection="1">
      <alignment horizontal="left" vertical="top"/>
    </xf>
    <xf numFmtId="0" fontId="130" fillId="39" borderId="0" xfId="219" applyFont="1" applyFill="1" applyBorder="1" applyAlignment="1" applyProtection="1">
      <alignment horizontal="left" vertical="top"/>
    </xf>
    <xf numFmtId="0" fontId="131" fillId="26" borderId="0" xfId="219" applyFont="1" applyBorder="1" applyAlignment="1" applyProtection="1">
      <alignment horizontal="left" vertical="top"/>
    </xf>
    <xf numFmtId="0" fontId="132" fillId="26" borderId="0" xfId="219" applyFont="1" applyBorder="1" applyAlignment="1" applyProtection="1">
      <alignment horizontal="left" vertical="top"/>
    </xf>
    <xf numFmtId="0" fontId="128" fillId="26" borderId="0" xfId="219" applyFont="1" applyBorder="1" applyAlignment="1" applyProtection="1">
      <alignment horizontal="left" vertical="top"/>
      <protection hidden="1"/>
    </xf>
    <xf numFmtId="0" fontId="128" fillId="26" borderId="0" xfId="219" applyFont="1" applyAlignment="1" applyProtection="1">
      <alignment vertical="top"/>
      <protection hidden="1"/>
    </xf>
    <xf numFmtId="0" fontId="128" fillId="26" borderId="33" xfId="219" applyFont="1" applyBorder="1" applyAlignment="1" applyProtection="1">
      <alignment horizontal="left" vertical="top"/>
    </xf>
    <xf numFmtId="0" fontId="128" fillId="26" borderId="0" xfId="219" applyFont="1" applyBorder="1" applyAlignment="1" applyProtection="1">
      <alignment horizontal="left" vertical="top"/>
    </xf>
    <xf numFmtId="0" fontId="131" fillId="26" borderId="0" xfId="219" applyFont="1" applyAlignment="1" applyProtection="1">
      <alignment vertical="top"/>
    </xf>
    <xf numFmtId="0" fontId="131" fillId="26" borderId="0" xfId="219" applyFont="1" applyAlignment="1" applyProtection="1">
      <alignment horizontal="center" vertical="top"/>
    </xf>
    <xf numFmtId="0" fontId="129" fillId="31" borderId="33" xfId="176" applyNumberFormat="1" applyFont="1" applyFill="1" applyBorder="1" applyAlignment="1" applyProtection="1">
      <alignment horizontal="left" vertical="top" wrapText="1"/>
    </xf>
    <xf numFmtId="0" fontId="131" fillId="26" borderId="25" xfId="219" applyFont="1" applyBorder="1" applyAlignment="1" applyProtection="1">
      <alignment horizontal="center" vertical="top"/>
    </xf>
    <xf numFmtId="0" fontId="131" fillId="26" borderId="25" xfId="219" applyFont="1" applyBorder="1" applyAlignment="1" applyProtection="1">
      <alignment horizontal="left" vertical="top"/>
    </xf>
    <xf numFmtId="167" fontId="133" fillId="36" borderId="33" xfId="176" applyNumberFormat="1" applyFont="1" applyFill="1" applyBorder="1" applyAlignment="1" applyProtection="1">
      <alignment horizontal="left" vertical="top" wrapText="1"/>
    </xf>
    <xf numFmtId="0" fontId="130" fillId="38" borderId="25" xfId="219" applyFont="1" applyFill="1" applyBorder="1" applyAlignment="1" applyProtection="1">
      <alignment horizontal="left" vertical="top"/>
    </xf>
    <xf numFmtId="0" fontId="134" fillId="39" borderId="25" xfId="219" applyFont="1" applyFill="1" applyBorder="1" applyAlignment="1" applyProtection="1">
      <alignment horizontal="left" vertical="top"/>
    </xf>
    <xf numFmtId="0" fontId="128" fillId="28" borderId="33" xfId="219" applyFont="1" applyFill="1" applyBorder="1" applyAlignment="1" applyProtection="1">
      <alignment vertical="top"/>
    </xf>
    <xf numFmtId="0" fontId="131" fillId="28" borderId="28" xfId="219" applyFont="1" applyFill="1" applyBorder="1" applyAlignment="1" applyProtection="1">
      <alignment vertical="top"/>
    </xf>
    <xf numFmtId="0" fontId="131" fillId="28" borderId="0" xfId="219" applyFont="1" applyFill="1" applyAlignment="1" applyProtection="1">
      <alignment horizontal="center" vertical="top"/>
    </xf>
    <xf numFmtId="167" fontId="129" fillId="28" borderId="0" xfId="176" applyNumberFormat="1" applyFont="1" applyFill="1" applyBorder="1" applyAlignment="1" applyProtection="1">
      <alignment horizontal="left" vertical="top" wrapText="1"/>
    </xf>
    <xf numFmtId="0" fontId="131" fillId="28" borderId="0" xfId="219" applyFont="1" applyFill="1" applyBorder="1" applyAlignment="1" applyProtection="1">
      <alignment horizontal="center" vertical="top"/>
    </xf>
    <xf numFmtId="0" fontId="131" fillId="28" borderId="0" xfId="219" applyFont="1" applyFill="1" applyBorder="1" applyAlignment="1" applyProtection="1">
      <alignment horizontal="left" vertical="top"/>
    </xf>
    <xf numFmtId="0" fontId="132" fillId="28" borderId="0" xfId="219" applyFont="1" applyFill="1" applyBorder="1" applyAlignment="1" applyProtection="1">
      <alignment horizontal="left" vertical="top"/>
    </xf>
    <xf numFmtId="0" fontId="88" fillId="29" borderId="34" xfId="0" applyFont="1" applyFill="1" applyBorder="1" applyAlignment="1" applyProtection="1">
      <alignment horizontal="left" vertical="top"/>
    </xf>
    <xf numFmtId="0" fontId="89" fillId="29" borderId="21" xfId="0" applyFont="1" applyFill="1" applyBorder="1" applyAlignment="1" applyProtection="1">
      <alignment horizontal="left" vertical="top"/>
    </xf>
    <xf numFmtId="0" fontId="90" fillId="0" borderId="0" xfId="0" applyFont="1" applyBorder="1" applyAlignment="1" applyProtection="1">
      <alignment horizontal="left" vertical="top"/>
    </xf>
    <xf numFmtId="0" fontId="90" fillId="0" borderId="0" xfId="0" applyFont="1" applyFill="1" applyBorder="1" applyAlignment="1" applyProtection="1">
      <alignment horizontal="center" vertical="top"/>
    </xf>
    <xf numFmtId="167" fontId="90" fillId="0" borderId="0" xfId="0" applyNumberFormat="1" applyFont="1" applyBorder="1" applyAlignment="1" applyProtection="1">
      <alignment horizontal="left" vertical="top"/>
    </xf>
    <xf numFmtId="0" fontId="91" fillId="0" borderId="0" xfId="0" applyFont="1" applyBorder="1" applyAlignment="1" applyProtection="1">
      <alignment horizontal="left" vertical="top"/>
    </xf>
    <xf numFmtId="49" fontId="88" fillId="29" borderId="33" xfId="0" applyNumberFormat="1" applyFont="1" applyFill="1" applyBorder="1" applyAlignment="1" applyProtection="1">
      <alignment horizontal="left" vertical="top"/>
    </xf>
    <xf numFmtId="0" fontId="89" fillId="29" borderId="25" xfId="0" applyFont="1" applyFill="1" applyBorder="1" applyAlignment="1" applyProtection="1">
      <alignment horizontal="left" vertical="top"/>
    </xf>
    <xf numFmtId="0" fontId="128" fillId="26" borderId="33" xfId="219" applyFont="1" applyBorder="1" applyAlignment="1" applyProtection="1">
      <alignment horizontal="left" vertical="center"/>
    </xf>
    <xf numFmtId="0" fontId="27" fillId="26" borderId="0" xfId="219" applyBorder="1" applyAlignment="1">
      <alignment horizontal="left" vertical="center"/>
    </xf>
    <xf numFmtId="0" fontId="93" fillId="29" borderId="7" xfId="224" applyFont="1" applyFill="1" applyBorder="1" applyAlignment="1">
      <alignment horizontal="right" vertical="center" wrapText="1"/>
    </xf>
    <xf numFmtId="0" fontId="92" fillId="0" borderId="0" xfId="224" applyFont="1" applyFill="1" applyBorder="1" applyAlignment="1">
      <alignment horizontal="center" wrapText="1"/>
    </xf>
    <xf numFmtId="0" fontId="92" fillId="0" borderId="0" xfId="0" applyFont="1"/>
    <xf numFmtId="0" fontId="92" fillId="0" borderId="0" xfId="224" applyFont="1"/>
    <xf numFmtId="0" fontId="84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35" fillId="0" borderId="7" xfId="0" applyFont="1" applyBorder="1" applyAlignment="1">
      <alignment vertical="center" wrapText="1"/>
    </xf>
    <xf numFmtId="0" fontId="121" fillId="0" borderId="0" xfId="236" applyFont="1" applyAlignment="1">
      <alignment horizontal="left" vertical="top" wrapText="1"/>
    </xf>
    <xf numFmtId="165" fontId="75" fillId="31" borderId="24" xfId="162" applyNumberFormat="1" applyFont="1" applyFill="1" applyBorder="1" applyAlignment="1" applyProtection="1">
      <alignment vertical="top" wrapText="1"/>
    </xf>
    <xf numFmtId="165" fontId="73" fillId="33" borderId="12" xfId="162" applyNumberFormat="1" applyFont="1" applyFill="1" applyBorder="1" applyAlignment="1" applyProtection="1">
      <alignment horizontal="center" vertical="top" wrapText="1"/>
      <protection locked="0"/>
    </xf>
    <xf numFmtId="165" fontId="73" fillId="33" borderId="17" xfId="162" applyNumberFormat="1" applyFont="1" applyFill="1" applyBorder="1" applyAlignment="1" applyProtection="1">
      <alignment horizontal="center" vertical="top" wrapText="1"/>
      <protection locked="0"/>
    </xf>
    <xf numFmtId="0" fontId="8" fillId="0" borderId="23" xfId="224" applyFont="1" applyFill="1" applyBorder="1" applyAlignment="1">
      <alignment horizontal="left" vertical="center" wrapText="1"/>
    </xf>
    <xf numFmtId="0" fontId="8" fillId="0" borderId="22" xfId="224" applyFont="1" applyFill="1" applyBorder="1" applyAlignment="1">
      <alignment wrapText="1"/>
    </xf>
    <xf numFmtId="165" fontId="7" fillId="34" borderId="12" xfId="162" applyNumberFormat="1" applyFont="1" applyFill="1" applyBorder="1" applyAlignment="1" applyProtection="1">
      <alignment vertical="center" wrapText="1"/>
      <protection locked="0"/>
    </xf>
    <xf numFmtId="165" fontId="73" fillId="34" borderId="12" xfId="162" applyNumberFormat="1" applyFont="1" applyFill="1" applyBorder="1" applyAlignment="1" applyProtection="1">
      <alignment vertical="center" wrapText="1"/>
      <protection locked="0"/>
    </xf>
    <xf numFmtId="165" fontId="85" fillId="30" borderId="12" xfId="162" applyNumberFormat="1" applyFont="1" applyFill="1" applyBorder="1" applyAlignment="1">
      <alignment horizontal="center"/>
    </xf>
    <xf numFmtId="165" fontId="77" fillId="33" borderId="17" xfId="162" applyNumberFormat="1" applyFont="1" applyFill="1" applyBorder="1" applyAlignment="1" applyProtection="1">
      <alignment horizontal="right" vertical="top" wrapText="1"/>
      <protection locked="0"/>
    </xf>
    <xf numFmtId="0" fontId="121" fillId="0" borderId="0" xfId="0" applyFont="1"/>
    <xf numFmtId="165" fontId="72" fillId="34" borderId="12" xfId="162" applyNumberFormat="1" applyFont="1" applyFill="1" applyBorder="1" applyAlignment="1" applyProtection="1">
      <alignment wrapText="1"/>
      <protection locked="0"/>
    </xf>
    <xf numFmtId="165" fontId="73" fillId="34" borderId="17" xfId="162" applyNumberFormat="1" applyFont="1" applyFill="1" applyBorder="1" applyAlignment="1" applyProtection="1">
      <alignment wrapText="1"/>
      <protection locked="0"/>
    </xf>
    <xf numFmtId="166" fontId="77" fillId="35" borderId="7" xfId="162" applyNumberFormat="1" applyFont="1" applyFill="1" applyBorder="1" applyAlignment="1" applyProtection="1">
      <alignment vertical="top" wrapText="1"/>
      <protection locked="0"/>
    </xf>
    <xf numFmtId="0" fontId="11" fillId="27" borderId="22" xfId="224" applyFont="1" applyFill="1" applyBorder="1" applyAlignment="1" applyProtection="1">
      <alignment vertical="center"/>
    </xf>
    <xf numFmtId="0" fontId="10" fillId="27" borderId="35" xfId="224" applyFont="1" applyFill="1" applyBorder="1" applyAlignment="1" applyProtection="1">
      <alignment vertical="center" wrapText="1"/>
    </xf>
    <xf numFmtId="165" fontId="75" fillId="31" borderId="16" xfId="162" applyNumberFormat="1" applyFont="1" applyFill="1" applyBorder="1" applyAlignment="1" applyProtection="1">
      <alignment horizontal="left" vertical="center" wrapText="1"/>
    </xf>
    <xf numFmtId="0" fontId="136" fillId="0" borderId="0" xfId="0" applyFont="1" applyFill="1" applyAlignment="1">
      <alignment vertical="center"/>
    </xf>
    <xf numFmtId="0" fontId="137" fillId="40" borderId="33" xfId="176" applyFont="1" applyFill="1" applyBorder="1" applyAlignment="1" applyProtection="1">
      <alignment horizontal="center" vertical="top"/>
    </xf>
    <xf numFmtId="0" fontId="138" fillId="26" borderId="33" xfId="219" applyFont="1" applyBorder="1" applyAlignment="1" applyProtection="1">
      <alignment horizontal="center" vertical="top"/>
    </xf>
    <xf numFmtId="167" fontId="137" fillId="37" borderId="33" xfId="176" applyNumberFormat="1" applyFont="1" applyFill="1" applyBorder="1" applyAlignment="1" applyProtection="1">
      <alignment horizontal="center" vertical="top"/>
    </xf>
    <xf numFmtId="167" fontId="137" fillId="28" borderId="0" xfId="176" applyNumberFormat="1" applyFont="1" applyFill="1" applyBorder="1" applyAlignment="1" applyProtection="1">
      <alignment horizontal="center" vertical="top"/>
    </xf>
    <xf numFmtId="0" fontId="86" fillId="41" borderId="7" xfId="0" applyFont="1" applyFill="1" applyBorder="1" applyAlignment="1" applyProtection="1">
      <alignment horizontal="left" vertical="top"/>
      <protection locked="0"/>
    </xf>
    <xf numFmtId="0" fontId="94" fillId="0" borderId="0" xfId="0" applyFont="1" applyBorder="1" applyAlignment="1" applyProtection="1">
      <alignment horizontal="center" vertical="top"/>
    </xf>
    <xf numFmtId="167" fontId="86" fillId="41" borderId="25" xfId="0" applyNumberFormat="1" applyFont="1" applyFill="1" applyBorder="1" applyAlignment="1" applyProtection="1">
      <alignment horizontal="left" vertical="top"/>
      <protection locked="0"/>
    </xf>
    <xf numFmtId="167" fontId="86" fillId="41" borderId="7" xfId="0" applyNumberFormat="1" applyFont="1" applyFill="1" applyBorder="1" applyAlignment="1" applyProtection="1">
      <alignment horizontal="left" vertical="top"/>
      <protection locked="0"/>
    </xf>
    <xf numFmtId="0" fontId="94" fillId="0" borderId="0" xfId="0" applyFont="1" applyFill="1" applyBorder="1" applyAlignment="1" applyProtection="1">
      <alignment horizontal="center" vertical="top"/>
    </xf>
    <xf numFmtId="0" fontId="95" fillId="27" borderId="0" xfId="0" applyFont="1" applyFill="1" applyProtection="1"/>
    <xf numFmtId="0" fontId="96" fillId="27" borderId="0" xfId="0" applyFont="1" applyFill="1" applyBorder="1" applyAlignment="1" applyProtection="1">
      <alignment horizontal="center"/>
    </xf>
    <xf numFmtId="0" fontId="95" fillId="27" borderId="0" xfId="0" applyFont="1" applyFill="1" applyBorder="1" applyProtection="1"/>
    <xf numFmtId="0" fontId="97" fillId="0" borderId="0" xfId="224" applyFont="1" applyBorder="1" applyAlignment="1">
      <alignment horizontal="center" vertical="center"/>
    </xf>
    <xf numFmtId="0" fontId="97" fillId="29" borderId="31" xfId="224" applyNumberFormat="1" applyFont="1" applyFill="1" applyBorder="1" applyAlignment="1">
      <alignment horizontal="center" vertical="center"/>
    </xf>
    <xf numFmtId="0" fontId="5" fillId="29" borderId="31" xfId="224" applyNumberFormat="1" applyFont="1" applyFill="1" applyBorder="1" applyAlignment="1">
      <alignment horizontal="center" vertical="center" wrapText="1"/>
    </xf>
    <xf numFmtId="0" fontId="139" fillId="29" borderId="31" xfId="224" applyNumberFormat="1" applyFont="1" applyFill="1" applyBorder="1" applyAlignment="1">
      <alignment vertical="center"/>
    </xf>
    <xf numFmtId="0" fontId="97" fillId="29" borderId="19" xfId="224" applyNumberFormat="1" applyFont="1" applyFill="1" applyBorder="1" applyAlignment="1">
      <alignment horizontal="center" vertical="center" wrapText="1"/>
    </xf>
    <xf numFmtId="0" fontId="7" fillId="29" borderId="31" xfId="224" applyNumberFormat="1" applyFont="1" applyFill="1" applyBorder="1" applyAlignment="1">
      <alignment horizontal="center" vertical="center"/>
    </xf>
    <xf numFmtId="0" fontId="139" fillId="29" borderId="31" xfId="224" applyNumberFormat="1" applyFont="1" applyFill="1" applyBorder="1" applyAlignment="1"/>
    <xf numFmtId="0" fontId="98" fillId="29" borderId="19" xfId="224" applyNumberFormat="1" applyFont="1" applyFill="1" applyBorder="1" applyAlignment="1">
      <alignment horizontal="center" vertical="center"/>
    </xf>
    <xf numFmtId="0" fontId="7" fillId="42" borderId="31" xfId="224" applyNumberFormat="1" applyFont="1" applyFill="1" applyBorder="1" applyAlignment="1">
      <alignment horizontal="center" vertical="center"/>
    </xf>
    <xf numFmtId="0" fontId="5" fillId="42" borderId="31" xfId="224" applyNumberFormat="1" applyFont="1" applyFill="1" applyBorder="1" applyAlignment="1">
      <alignment horizontal="left" vertical="center"/>
    </xf>
    <xf numFmtId="0" fontId="97" fillId="42" borderId="19" xfId="224" applyNumberFormat="1" applyFont="1" applyFill="1" applyBorder="1" applyAlignment="1">
      <alignment horizontal="center" vertical="center"/>
    </xf>
    <xf numFmtId="0" fontId="7" fillId="43" borderId="31" xfId="224" applyNumberFormat="1" applyFont="1" applyFill="1" applyBorder="1" applyAlignment="1">
      <alignment horizontal="center" vertical="center"/>
    </xf>
    <xf numFmtId="0" fontId="7" fillId="43" borderId="31" xfId="224" applyNumberFormat="1" applyFont="1" applyFill="1" applyBorder="1" applyAlignment="1">
      <alignment horizontal="left" vertical="center"/>
    </xf>
    <xf numFmtId="0" fontId="97" fillId="43" borderId="19" xfId="224" applyNumberFormat="1" applyFont="1" applyFill="1" applyBorder="1" applyAlignment="1">
      <alignment horizontal="center" vertical="center"/>
    </xf>
    <xf numFmtId="0" fontId="7" fillId="42" borderId="31" xfId="224" applyNumberFormat="1" applyFont="1" applyFill="1" applyBorder="1" applyAlignment="1">
      <alignment horizontal="left" vertical="center"/>
    </xf>
    <xf numFmtId="0" fontId="139" fillId="43" borderId="31" xfId="224" applyNumberFormat="1" applyFont="1" applyFill="1" applyBorder="1" applyAlignment="1">
      <alignment horizontal="left" vertical="center"/>
    </xf>
    <xf numFmtId="0" fontId="140" fillId="43" borderId="31" xfId="224" applyNumberFormat="1" applyFont="1" applyFill="1" applyBorder="1" applyAlignment="1">
      <alignment horizontal="left" vertical="center"/>
    </xf>
    <xf numFmtId="0" fontId="5" fillId="43" borderId="31" xfId="224" applyNumberFormat="1" applyFont="1" applyFill="1" applyBorder="1" applyAlignment="1">
      <alignment horizontal="left" vertical="center"/>
    </xf>
    <xf numFmtId="0" fontId="140" fillId="42" borderId="31" xfId="224" applyNumberFormat="1" applyFont="1" applyFill="1" applyBorder="1" applyAlignment="1">
      <alignment horizontal="left" vertical="center"/>
    </xf>
    <xf numFmtId="0" fontId="139" fillId="42" borderId="31" xfId="224" applyNumberFormat="1" applyFont="1" applyFill="1" applyBorder="1" applyAlignment="1">
      <alignment horizontal="left" vertical="center"/>
    </xf>
    <xf numFmtId="0" fontId="5" fillId="29" borderId="31" xfId="224" applyNumberFormat="1" applyFont="1" applyFill="1" applyBorder="1" applyAlignment="1">
      <alignment horizontal="left" vertical="center"/>
    </xf>
    <xf numFmtId="0" fontId="97" fillId="43" borderId="31" xfId="224" applyNumberFormat="1" applyFont="1" applyFill="1" applyBorder="1" applyAlignment="1">
      <alignment horizontal="center" vertical="center"/>
    </xf>
    <xf numFmtId="0" fontId="97" fillId="42" borderId="31" xfId="224" applyNumberFormat="1" applyFont="1" applyFill="1" applyBorder="1" applyAlignment="1">
      <alignment horizontal="center" vertical="center"/>
    </xf>
    <xf numFmtId="0" fontId="97" fillId="43" borderId="7" xfId="224" applyNumberFormat="1" applyFont="1" applyFill="1" applyBorder="1" applyAlignment="1">
      <alignment horizontal="center" vertical="center"/>
    </xf>
    <xf numFmtId="165" fontId="10" fillId="0" borderId="0" xfId="162" applyNumberFormat="1" applyFont="1" applyFill="1" applyBorder="1" applyAlignment="1" applyProtection="1">
      <alignment vertical="top" wrapText="1"/>
    </xf>
    <xf numFmtId="166" fontId="75" fillId="34" borderId="12" xfId="162" applyNumberFormat="1" applyFont="1" applyFill="1" applyBorder="1" applyAlignment="1" applyProtection="1">
      <alignment horizontal="right" wrapText="1"/>
      <protection locked="0"/>
    </xf>
    <xf numFmtId="166" fontId="122" fillId="35" borderId="12" xfId="162" applyNumberFormat="1" applyFont="1" applyFill="1" applyBorder="1" applyAlignment="1" applyProtection="1">
      <alignment horizontal="right" wrapText="1"/>
      <protection locked="0"/>
    </xf>
    <xf numFmtId="166" fontId="75" fillId="35" borderId="12" xfId="162" applyNumberFormat="1" applyFont="1" applyFill="1" applyBorder="1" applyAlignment="1" applyProtection="1">
      <alignment horizontal="right" wrapText="1"/>
      <protection locked="0"/>
    </xf>
    <xf numFmtId="165" fontId="75" fillId="34" borderId="18" xfId="162" applyNumberFormat="1" applyFont="1" applyFill="1" applyBorder="1" applyAlignment="1" applyProtection="1">
      <alignment horizontal="right" wrapText="1"/>
      <protection locked="0"/>
    </xf>
    <xf numFmtId="165" fontId="75" fillId="34" borderId="7" xfId="162" applyNumberFormat="1" applyFont="1" applyFill="1" applyBorder="1" applyAlignment="1" applyProtection="1">
      <alignment horizontal="right" wrapText="1"/>
      <protection locked="0"/>
    </xf>
    <xf numFmtId="0" fontId="121" fillId="0" borderId="32" xfId="0" applyFont="1" applyBorder="1" applyAlignment="1">
      <alignment vertical="top" wrapText="1"/>
    </xf>
    <xf numFmtId="0" fontId="121" fillId="0" borderId="0" xfId="0" applyFont="1" applyBorder="1" applyAlignment="1">
      <alignment vertical="top" wrapText="1"/>
    </xf>
    <xf numFmtId="0" fontId="121" fillId="0" borderId="0" xfId="0" applyFont="1"/>
    <xf numFmtId="0" fontId="11" fillId="29" borderId="8" xfId="224" applyFont="1" applyFill="1" applyBorder="1" applyAlignment="1">
      <alignment horizontal="center" vertical="center" wrapText="1"/>
    </xf>
    <xf numFmtId="0" fontId="121" fillId="0" borderId="0" xfId="224" applyFont="1"/>
    <xf numFmtId="165" fontId="100" fillId="0" borderId="0" xfId="224" applyNumberFormat="1" applyFont="1" applyFill="1" applyBorder="1" applyAlignment="1">
      <alignment horizontal="center" wrapText="1"/>
    </xf>
    <xf numFmtId="0" fontId="114" fillId="0" borderId="0" xfId="252"/>
    <xf numFmtId="0" fontId="12" fillId="0" borderId="0" xfId="249" applyFont="1" applyAlignment="1"/>
    <xf numFmtId="0" fontId="4" fillId="0" borderId="0" xfId="249"/>
    <xf numFmtId="0" fontId="84" fillId="0" borderId="0" xfId="221"/>
    <xf numFmtId="0" fontId="5" fillId="0" borderId="0" xfId="249" applyFont="1" applyAlignment="1"/>
    <xf numFmtId="0" fontId="114" fillId="29" borderId="31" xfId="252" applyFill="1" applyBorder="1" applyAlignment="1"/>
    <xf numFmtId="0" fontId="114" fillId="29" borderId="29" xfId="252" applyFill="1" applyBorder="1" applyAlignment="1"/>
    <xf numFmtId="0" fontId="11" fillId="29" borderId="19" xfId="249" applyFont="1" applyFill="1" applyBorder="1" applyAlignment="1">
      <alignment horizontal="center" textRotation="90" wrapText="1"/>
    </xf>
    <xf numFmtId="0" fontId="141" fillId="29" borderId="32" xfId="252" applyFont="1" applyFill="1" applyBorder="1" applyAlignment="1">
      <alignment horizontal="center" vertical="center"/>
    </xf>
    <xf numFmtId="0" fontId="141" fillId="29" borderId="33" xfId="252" applyFont="1" applyFill="1" applyBorder="1" applyAlignment="1">
      <alignment horizontal="center" vertical="center"/>
    </xf>
    <xf numFmtId="0" fontId="142" fillId="29" borderId="25" xfId="252" applyFont="1" applyFill="1" applyBorder="1" applyAlignment="1">
      <alignment horizontal="center" vertical="center" wrapText="1"/>
    </xf>
    <xf numFmtId="0" fontId="8" fillId="29" borderId="7" xfId="249" applyFont="1" applyFill="1" applyBorder="1" applyAlignment="1">
      <alignment horizontal="center" vertical="center" wrapText="1"/>
    </xf>
    <xf numFmtId="0" fontId="114" fillId="29" borderId="28" xfId="252" applyFill="1" applyBorder="1"/>
    <xf numFmtId="0" fontId="141" fillId="29" borderId="30" xfId="252" applyFont="1" applyFill="1" applyBorder="1" applyAlignment="1">
      <alignment horizontal="center" vertical="center"/>
    </xf>
    <xf numFmtId="0" fontId="114" fillId="29" borderId="24" xfId="252" applyFill="1" applyBorder="1"/>
    <xf numFmtId="0" fontId="10" fillId="29" borderId="7" xfId="249" quotePrefix="1" applyFont="1" applyFill="1" applyBorder="1" applyAlignment="1">
      <alignment horizontal="center" vertical="center" wrapText="1"/>
    </xf>
    <xf numFmtId="0" fontId="7" fillId="29" borderId="7" xfId="221" applyFont="1" applyFill="1" applyBorder="1" applyAlignment="1">
      <alignment horizontal="center" vertical="center" wrapText="1"/>
    </xf>
    <xf numFmtId="0" fontId="11" fillId="28" borderId="8" xfId="224" applyFont="1" applyFill="1" applyBorder="1" applyAlignment="1">
      <alignment vertical="top" wrapText="1"/>
    </xf>
    <xf numFmtId="0" fontId="8" fillId="28" borderId="21" xfId="224" applyFont="1" applyFill="1" applyBorder="1" applyAlignment="1">
      <alignment vertical="top" wrapText="1"/>
    </xf>
    <xf numFmtId="0" fontId="121" fillId="0" borderId="14" xfId="221" applyFont="1" applyBorder="1" applyAlignment="1">
      <alignment vertical="top"/>
    </xf>
    <xf numFmtId="0" fontId="121" fillId="0" borderId="0" xfId="221" applyFont="1" applyAlignment="1">
      <alignment horizontal="left" vertical="top"/>
    </xf>
    <xf numFmtId="0" fontId="121" fillId="0" borderId="14" xfId="221" applyFont="1" applyBorder="1" applyAlignment="1">
      <alignment horizontal="right" vertical="top"/>
    </xf>
    <xf numFmtId="0" fontId="77" fillId="0" borderId="0" xfId="221" applyFont="1" applyAlignment="1">
      <alignment horizontal="left" vertical="top"/>
    </xf>
    <xf numFmtId="0" fontId="114" fillId="29" borderId="31" xfId="252" applyFill="1" applyBorder="1"/>
    <xf numFmtId="0" fontId="114" fillId="29" borderId="32" xfId="252" applyFill="1" applyBorder="1"/>
    <xf numFmtId="0" fontId="11" fillId="29" borderId="33" xfId="224" applyFont="1" applyFill="1" applyBorder="1" applyAlignment="1">
      <alignment vertical="top" wrapText="1"/>
    </xf>
    <xf numFmtId="0" fontId="11" fillId="29" borderId="30" xfId="224" applyFont="1" applyFill="1" applyBorder="1" applyAlignment="1">
      <alignment vertical="top" wrapText="1"/>
    </xf>
    <xf numFmtId="0" fontId="7" fillId="29" borderId="15" xfId="221" applyFont="1" applyFill="1" applyBorder="1" applyAlignment="1">
      <alignment horizontal="center" vertical="center" wrapText="1"/>
    </xf>
    <xf numFmtId="0" fontId="11" fillId="28" borderId="19" xfId="224" applyFont="1" applyFill="1" applyBorder="1" applyAlignment="1">
      <alignment horizontal="left" vertical="center" wrapText="1"/>
    </xf>
    <xf numFmtId="0" fontId="114" fillId="0" borderId="0" xfId="252" applyAlignment="1">
      <alignment horizontal="left" vertical="top"/>
    </xf>
    <xf numFmtId="0" fontId="84" fillId="0" borderId="0" xfId="221" applyAlignment="1">
      <alignment horizontal="left" vertical="center"/>
    </xf>
    <xf numFmtId="49" fontId="7" fillId="29" borderId="12" xfId="221" applyNumberFormat="1" applyFont="1" applyFill="1" applyBorder="1" applyAlignment="1">
      <alignment horizontal="center" vertical="center" wrapText="1"/>
    </xf>
    <xf numFmtId="0" fontId="7" fillId="29" borderId="16" xfId="221" applyFont="1" applyFill="1" applyBorder="1" applyAlignment="1">
      <alignment horizontal="center" vertical="center" wrapText="1"/>
    </xf>
    <xf numFmtId="0" fontId="10" fillId="28" borderId="16" xfId="224" applyFont="1" applyFill="1" applyBorder="1" applyAlignment="1">
      <alignment horizontal="left" vertical="center" wrapText="1"/>
    </xf>
    <xf numFmtId="0" fontId="7" fillId="29" borderId="12" xfId="221" applyFont="1" applyFill="1" applyBorder="1" applyAlignment="1">
      <alignment horizontal="center" vertical="center" wrapText="1"/>
    </xf>
    <xf numFmtId="0" fontId="7" fillId="29" borderId="18" xfId="221" applyFont="1" applyFill="1" applyBorder="1" applyAlignment="1">
      <alignment horizontal="center" vertical="center" wrapText="1"/>
    </xf>
    <xf numFmtId="0" fontId="10" fillId="28" borderId="25" xfId="224" applyFont="1" applyFill="1" applyBorder="1" applyAlignment="1">
      <alignment horizontal="left" vertical="center" wrapText="1"/>
    </xf>
    <xf numFmtId="0" fontId="7" fillId="29" borderId="8" xfId="221" applyFont="1" applyFill="1" applyBorder="1" applyAlignment="1">
      <alignment horizontal="center" vertical="center" wrapText="1"/>
    </xf>
    <xf numFmtId="0" fontId="11" fillId="29" borderId="34" xfId="224" applyFont="1" applyFill="1" applyBorder="1" applyAlignment="1">
      <alignment vertical="top" wrapText="1"/>
    </xf>
    <xf numFmtId="0" fontId="8" fillId="29" borderId="21" xfId="224" applyFont="1" applyFill="1" applyBorder="1" applyAlignment="1">
      <alignment vertical="top" wrapText="1"/>
    </xf>
    <xf numFmtId="0" fontId="11" fillId="28" borderId="19" xfId="224" applyFont="1" applyFill="1" applyBorder="1" applyAlignment="1">
      <alignment vertical="center" wrapText="1"/>
    </xf>
    <xf numFmtId="0" fontId="7" fillId="29" borderId="17" xfId="221" applyFont="1" applyFill="1" applyBorder="1" applyAlignment="1">
      <alignment horizontal="center" vertical="center" wrapText="1"/>
    </xf>
    <xf numFmtId="0" fontId="8" fillId="0" borderId="17" xfId="224" applyFont="1" applyFill="1" applyBorder="1" applyAlignment="1">
      <alignment vertical="center" wrapText="1"/>
    </xf>
    <xf numFmtId="0" fontId="121" fillId="0" borderId="0" xfId="221" applyFont="1" applyAlignment="1">
      <alignment horizontal="left"/>
    </xf>
    <xf numFmtId="0" fontId="77" fillId="0" borderId="0" xfId="221" applyFont="1"/>
    <xf numFmtId="0" fontId="121" fillId="0" borderId="0" xfId="221" applyFont="1" applyFill="1" applyAlignment="1">
      <alignment horizontal="left"/>
    </xf>
    <xf numFmtId="0" fontId="121" fillId="0" borderId="0" xfId="221" applyFont="1" applyAlignment="1">
      <alignment vertical="top" wrapText="1"/>
    </xf>
    <xf numFmtId="0" fontId="121" fillId="0" borderId="0" xfId="221" applyFont="1" applyAlignment="1"/>
    <xf numFmtId="0" fontId="11" fillId="29" borderId="14" xfId="224" applyFont="1" applyFill="1" applyBorder="1"/>
    <xf numFmtId="0" fontId="47" fillId="29" borderId="19" xfId="224" applyFont="1" applyFill="1" applyBorder="1"/>
    <xf numFmtId="0" fontId="4" fillId="29" borderId="8" xfId="249" applyFont="1" applyFill="1" applyBorder="1"/>
    <xf numFmtId="0" fontId="4" fillId="29" borderId="34" xfId="249" applyFont="1" applyFill="1" applyBorder="1"/>
    <xf numFmtId="0" fontId="11" fillId="29" borderId="34" xfId="249" applyFont="1" applyFill="1" applyBorder="1" applyAlignment="1">
      <alignment horizontal="center"/>
    </xf>
    <xf numFmtId="0" fontId="4" fillId="29" borderId="21" xfId="249" applyFont="1" applyFill="1" applyBorder="1"/>
    <xf numFmtId="0" fontId="47" fillId="29" borderId="32" xfId="224" applyFont="1" applyFill="1" applyBorder="1" applyAlignment="1">
      <alignment horizontal="center"/>
    </xf>
    <xf numFmtId="0" fontId="119" fillId="0" borderId="0" xfId="224" applyFont="1" applyAlignment="1">
      <alignment wrapText="1"/>
    </xf>
    <xf numFmtId="0" fontId="121" fillId="0" borderId="32" xfId="224" applyFont="1" applyBorder="1" applyAlignment="1">
      <alignment wrapText="1"/>
    </xf>
    <xf numFmtId="0" fontId="121" fillId="0" borderId="0" xfId="224" applyFont="1" applyBorder="1" applyAlignment="1">
      <alignment wrapText="1"/>
    </xf>
    <xf numFmtId="0" fontId="10" fillId="29" borderId="14" xfId="224" quotePrefix="1" applyFont="1" applyFill="1" applyBorder="1" applyAlignment="1">
      <alignment horizontal="center" vertical="center" wrapText="1"/>
    </xf>
    <xf numFmtId="0" fontId="10" fillId="29" borderId="29" xfId="224" quotePrefix="1" applyFont="1" applyFill="1" applyBorder="1" applyAlignment="1">
      <alignment horizontal="center" vertical="center" wrapText="1"/>
    </xf>
    <xf numFmtId="0" fontId="10" fillId="29" borderId="23" xfId="224" applyFont="1" applyFill="1" applyBorder="1" applyAlignment="1">
      <alignment horizontal="center" vertical="center" wrapText="1"/>
    </xf>
    <xf numFmtId="0" fontId="8" fillId="0" borderId="15" xfId="224" applyFont="1" applyFill="1" applyBorder="1" applyAlignment="1">
      <alignment vertical="center" wrapText="1"/>
    </xf>
    <xf numFmtId="0" fontId="10" fillId="29" borderId="22" xfId="224" applyFont="1" applyFill="1" applyBorder="1" applyAlignment="1">
      <alignment horizontal="center" vertical="center" wrapText="1"/>
    </xf>
    <xf numFmtId="0" fontId="10" fillId="29" borderId="27" xfId="224" applyFont="1" applyFill="1" applyBorder="1" applyAlignment="1">
      <alignment horizontal="center" vertical="center" wrapText="1"/>
    </xf>
    <xf numFmtId="0" fontId="10" fillId="0" borderId="27" xfId="224" applyFont="1" applyFill="1" applyBorder="1" applyAlignment="1">
      <alignment horizontal="left" vertical="center" wrapText="1" indent="1"/>
    </xf>
    <xf numFmtId="0" fontId="8" fillId="0" borderId="18" xfId="224" applyFont="1" applyFill="1" applyBorder="1" applyAlignment="1">
      <alignment vertical="center" wrapText="1"/>
    </xf>
    <xf numFmtId="0" fontId="10" fillId="29" borderId="22" xfId="224" quotePrefix="1" applyFont="1" applyFill="1" applyBorder="1" applyAlignment="1">
      <alignment horizontal="center" vertical="center" wrapText="1"/>
    </xf>
    <xf numFmtId="0" fontId="11" fillId="0" borderId="22" xfId="224" applyFont="1" applyFill="1" applyBorder="1" applyAlignment="1">
      <alignment horizontal="left" vertical="center" wrapText="1"/>
    </xf>
    <xf numFmtId="0" fontId="11" fillId="0" borderId="27" xfId="224" applyFont="1" applyFill="1" applyBorder="1" applyAlignment="1">
      <alignment horizontal="left" vertical="center" wrapText="1"/>
    </xf>
    <xf numFmtId="0" fontId="8" fillId="28" borderId="17" xfId="224" applyFont="1" applyFill="1" applyBorder="1" applyAlignment="1">
      <alignment vertical="center" wrapText="1"/>
    </xf>
    <xf numFmtId="0" fontId="4" fillId="0" borderId="0" xfId="221" applyFont="1"/>
    <xf numFmtId="0" fontId="11" fillId="0" borderId="0" xfId="224" applyFont="1" applyFill="1" applyBorder="1" applyAlignment="1">
      <alignment vertical="center" wrapText="1"/>
    </xf>
    <xf numFmtId="0" fontId="120" fillId="0" borderId="0" xfId="224" applyFont="1" applyFill="1" applyBorder="1" applyAlignment="1">
      <alignment horizontal="center" vertical="center" wrapText="1"/>
    </xf>
    <xf numFmtId="0" fontId="121" fillId="0" borderId="0" xfId="221" applyFont="1" applyBorder="1" applyAlignment="1">
      <alignment vertical="top" wrapText="1"/>
    </xf>
    <xf numFmtId="0" fontId="121" fillId="0" borderId="0" xfId="221" applyFont="1" applyBorder="1" applyAlignment="1">
      <alignment horizontal="left" vertical="top" wrapText="1"/>
    </xf>
    <xf numFmtId="0" fontId="121" fillId="0" borderId="0" xfId="221" applyFont="1"/>
    <xf numFmtId="0" fontId="48" fillId="0" borderId="0" xfId="249" applyFont="1"/>
    <xf numFmtId="0" fontId="4" fillId="29" borderId="14" xfId="249" applyFont="1" applyFill="1" applyBorder="1"/>
    <xf numFmtId="0" fontId="47" fillId="29" borderId="32" xfId="224" applyFont="1" applyFill="1" applyBorder="1" applyAlignment="1">
      <alignment horizontal="left" vertical="center"/>
    </xf>
    <xf numFmtId="0" fontId="47" fillId="0" borderId="0" xfId="224" applyFont="1" applyAlignment="1">
      <alignment horizontal="left" vertical="center"/>
    </xf>
    <xf numFmtId="0" fontId="11" fillId="0" borderId="16" xfId="224" applyFont="1" applyFill="1" applyBorder="1" applyAlignment="1">
      <alignment vertical="center" wrapText="1"/>
    </xf>
    <xf numFmtId="0" fontId="8" fillId="28" borderId="15" xfId="224" applyFont="1" applyFill="1" applyBorder="1" applyAlignment="1">
      <alignment vertical="center" wrapText="1"/>
    </xf>
    <xf numFmtId="0" fontId="11" fillId="0" borderId="12" xfId="224" applyFont="1" applyFill="1" applyBorder="1" applyAlignment="1">
      <alignment vertical="center" wrapText="1"/>
    </xf>
    <xf numFmtId="0" fontId="47" fillId="0" borderId="0" xfId="224" applyFont="1" applyFill="1" applyAlignment="1">
      <alignment vertical="center"/>
    </xf>
    <xf numFmtId="0" fontId="11" fillId="0" borderId="17" xfId="224" applyFont="1" applyFill="1" applyBorder="1" applyAlignment="1">
      <alignment vertical="center" wrapText="1"/>
    </xf>
    <xf numFmtId="0" fontId="4" fillId="0" borderId="0" xfId="224" applyProtection="1"/>
    <xf numFmtId="0" fontId="12" fillId="0" borderId="0" xfId="224" applyFont="1" applyAlignment="1" applyProtection="1">
      <alignment horizontal="left"/>
    </xf>
    <xf numFmtId="0" fontId="12" fillId="0" borderId="0" xfId="224" applyFont="1" applyAlignment="1" applyProtection="1"/>
    <xf numFmtId="0" fontId="11" fillId="0" borderId="0" xfId="224" applyFont="1" applyAlignment="1" applyProtection="1">
      <alignment horizontal="left"/>
    </xf>
    <xf numFmtId="0" fontId="84" fillId="0" borderId="0" xfId="221" applyProtection="1"/>
    <xf numFmtId="0" fontId="11" fillId="0" borderId="0" xfId="224" applyFont="1" applyAlignment="1" applyProtection="1"/>
    <xf numFmtId="0" fontId="5" fillId="0" borderId="0" xfId="224" applyFont="1" applyAlignment="1" applyProtection="1"/>
    <xf numFmtId="0" fontId="11" fillId="0" borderId="0" xfId="224" applyFont="1" applyProtection="1"/>
    <xf numFmtId="0" fontId="11" fillId="29" borderId="7" xfId="224" applyFont="1" applyFill="1" applyBorder="1" applyAlignment="1" applyProtection="1">
      <alignment horizontal="center" vertical="center" wrapText="1"/>
    </xf>
    <xf numFmtId="0" fontId="8" fillId="29" borderId="7" xfId="224" applyFont="1" applyFill="1" applyBorder="1" applyAlignment="1" applyProtection="1">
      <alignment horizontal="center" vertical="center" wrapText="1"/>
    </xf>
    <xf numFmtId="0" fontId="10" fillId="29" borderId="7" xfId="224" quotePrefix="1" applyFont="1" applyFill="1" applyBorder="1" applyAlignment="1" applyProtection="1">
      <alignment horizontal="center" vertical="center" wrapText="1"/>
    </xf>
    <xf numFmtId="165" fontId="10" fillId="33" borderId="24" xfId="163" applyNumberFormat="1" applyFont="1" applyFill="1" applyBorder="1" applyAlignment="1" applyProtection="1">
      <alignment horizontal="center" vertical="top" wrapText="1"/>
      <protection locked="0"/>
    </xf>
    <xf numFmtId="165" fontId="7" fillId="34" borderId="7" xfId="163" applyNumberFormat="1" applyFont="1" applyFill="1" applyBorder="1" applyAlignment="1" applyProtection="1">
      <alignment vertical="center" wrapText="1"/>
      <protection locked="0"/>
    </xf>
    <xf numFmtId="10" fontId="10" fillId="44" borderId="24" xfId="266" applyNumberFormat="1" applyFont="1" applyFill="1" applyBorder="1" applyAlignment="1" applyProtection="1">
      <alignment horizontal="center" vertical="top" wrapText="1"/>
      <protection locked="0"/>
    </xf>
    <xf numFmtId="0" fontId="121" fillId="0" borderId="0" xfId="224" applyFont="1" applyProtection="1"/>
    <xf numFmtId="0" fontId="121" fillId="0" borderId="0" xfId="224" applyFont="1" applyAlignment="1" applyProtection="1">
      <alignment wrapText="1"/>
    </xf>
    <xf numFmtId="0" fontId="77" fillId="0" borderId="0" xfId="224" applyFont="1" applyProtection="1"/>
    <xf numFmtId="0" fontId="10" fillId="0" borderId="0" xfId="224" applyFont="1" applyBorder="1" applyAlignment="1" applyProtection="1">
      <alignment horizontal="center" vertical="top" wrapText="1"/>
    </xf>
    <xf numFmtId="0" fontId="77" fillId="0" borderId="0" xfId="224" applyFont="1" applyFill="1" applyBorder="1" applyAlignment="1" applyProtection="1">
      <alignment horizontal="center" vertical="top" wrapText="1"/>
    </xf>
    <xf numFmtId="0" fontId="77" fillId="0" borderId="0" xfId="224" applyFont="1" applyBorder="1" applyAlignment="1" applyProtection="1">
      <alignment horizontal="center" vertical="top" wrapText="1"/>
    </xf>
    <xf numFmtId="0" fontId="121" fillId="0" borderId="0" xfId="224" applyFont="1" applyAlignment="1" applyProtection="1"/>
    <xf numFmtId="0" fontId="10" fillId="0" borderId="0" xfId="224" applyFont="1" applyProtection="1"/>
    <xf numFmtId="0" fontId="143" fillId="29" borderId="7" xfId="221" applyFont="1" applyFill="1" applyBorder="1" applyAlignment="1">
      <alignment vertical="center" wrapText="1"/>
    </xf>
    <xf numFmtId="0" fontId="144" fillId="0" borderId="7" xfId="221" applyFont="1" applyBorder="1" applyAlignment="1">
      <alignment horizontal="left" vertical="center" wrapText="1"/>
    </xf>
    <xf numFmtId="0" fontId="84" fillId="0" borderId="7" xfId="221" applyBorder="1" applyAlignment="1">
      <alignment vertical="center" wrapText="1"/>
    </xf>
    <xf numFmtId="0" fontId="143" fillId="29" borderId="19" xfId="221" applyFont="1" applyFill="1" applyBorder="1" applyAlignment="1">
      <alignment vertical="center" wrapText="1"/>
    </xf>
    <xf numFmtId="0" fontId="145" fillId="0" borderId="7" xfId="221" applyFont="1" applyBorder="1" applyAlignment="1">
      <alignment horizontal="left" vertical="center"/>
    </xf>
    <xf numFmtId="0" fontId="145" fillId="0" borderId="7" xfId="221" applyFont="1" applyBorder="1" applyAlignment="1">
      <alignment horizontal="left" vertical="center" wrapText="1"/>
    </xf>
    <xf numFmtId="0" fontId="144" fillId="0" borderId="7" xfId="221" applyFont="1" applyBorder="1" applyAlignment="1">
      <alignment horizontal="left" vertical="center"/>
    </xf>
    <xf numFmtId="0" fontId="11" fillId="0" borderId="0" xfId="238" applyFont="1" applyAlignment="1">
      <alignment horizontal="left"/>
    </xf>
    <xf numFmtId="0" fontId="10" fillId="0" borderId="0" xfId="224" applyFont="1" applyFill="1" applyBorder="1" applyAlignment="1">
      <alignment horizontal="center" vertical="center" wrapText="1"/>
    </xf>
    <xf numFmtId="0" fontId="11" fillId="29" borderId="30" xfId="224" applyFont="1" applyFill="1" applyBorder="1" applyAlignment="1">
      <alignment horizontal="left" wrapText="1"/>
    </xf>
    <xf numFmtId="0" fontId="51" fillId="29" borderId="24" xfId="224" applyFont="1" applyFill="1" applyBorder="1" applyAlignment="1">
      <alignment horizontal="left" wrapText="1"/>
    </xf>
    <xf numFmtId="0" fontId="7" fillId="29" borderId="8" xfId="224" applyFont="1" applyFill="1" applyBorder="1" applyAlignment="1">
      <alignment horizontal="center" vertical="center" wrapText="1"/>
    </xf>
    <xf numFmtId="0" fontId="11" fillId="29" borderId="21" xfId="224" applyFont="1" applyFill="1" applyBorder="1" applyAlignment="1">
      <alignment horizontal="left" vertical="center" wrapText="1"/>
    </xf>
    <xf numFmtId="0" fontId="51" fillId="29" borderId="7" xfId="224" applyFont="1" applyFill="1" applyBorder="1" applyAlignment="1">
      <alignment horizontal="left" vertical="center" wrapText="1"/>
    </xf>
    <xf numFmtId="165" fontId="75" fillId="29" borderId="7" xfId="163" applyNumberFormat="1" applyFont="1" applyFill="1" applyBorder="1" applyAlignment="1">
      <alignment horizontal="center" vertical="center" wrapText="1"/>
    </xf>
    <xf numFmtId="0" fontId="10" fillId="0" borderId="17" xfId="224" applyFont="1" applyFill="1" applyBorder="1" applyAlignment="1">
      <alignment horizontal="left" vertical="center" wrapText="1" indent="1"/>
    </xf>
    <xf numFmtId="0" fontId="7" fillId="0" borderId="0" xfId="224" applyFont="1" applyFill="1" applyBorder="1" applyAlignment="1">
      <alignment horizontal="center" vertical="center" wrapText="1"/>
    </xf>
    <xf numFmtId="0" fontId="10" fillId="0" borderId="0" xfId="224" applyFont="1" applyFill="1" applyBorder="1" applyAlignment="1">
      <alignment horizontal="left" vertical="center" wrapText="1" indent="1"/>
    </xf>
    <xf numFmtId="0" fontId="47" fillId="0" borderId="0" xfId="224" applyFont="1" applyFill="1" applyBorder="1" applyAlignment="1">
      <alignment horizontal="center" vertical="center"/>
    </xf>
    <xf numFmtId="0" fontId="11" fillId="29" borderId="31" xfId="224" applyFont="1" applyFill="1" applyBorder="1"/>
    <xf numFmtId="0" fontId="47" fillId="29" borderId="25" xfId="224" applyFont="1" applyFill="1" applyBorder="1"/>
    <xf numFmtId="0" fontId="47" fillId="29" borderId="24" xfId="224" applyFont="1" applyFill="1" applyBorder="1"/>
    <xf numFmtId="0" fontId="8" fillId="29" borderId="33" xfId="224" applyFont="1" applyFill="1" applyBorder="1" applyAlignment="1">
      <alignment horizontal="center" vertical="center" wrapText="1"/>
    </xf>
    <xf numFmtId="0" fontId="11" fillId="29" borderId="7" xfId="224" applyFont="1" applyFill="1" applyBorder="1" applyAlignment="1">
      <alignment horizontal="left" wrapText="1"/>
    </xf>
    <xf numFmtId="0" fontId="10" fillId="0" borderId="32" xfId="236" quotePrefix="1" applyFont="1" applyFill="1" applyBorder="1" applyAlignment="1">
      <alignment horizontal="center" vertical="center" wrapText="1"/>
    </xf>
    <xf numFmtId="0" fontId="11" fillId="0" borderId="19" xfId="224" applyFont="1" applyFill="1" applyBorder="1" applyAlignment="1">
      <alignment horizontal="left" vertical="top" wrapText="1"/>
    </xf>
    <xf numFmtId="0" fontId="8" fillId="0" borderId="19" xfId="224" applyFont="1" applyFill="1" applyBorder="1" applyAlignment="1">
      <alignment horizontal="left" vertical="top" wrapText="1"/>
    </xf>
    <xf numFmtId="0" fontId="11" fillId="29" borderId="21" xfId="224" applyFont="1" applyFill="1" applyBorder="1" applyAlignment="1">
      <alignment horizontal="left" wrapText="1"/>
    </xf>
    <xf numFmtId="0" fontId="51" fillId="29" borderId="7" xfId="224" applyFont="1" applyFill="1" applyBorder="1" applyAlignment="1">
      <alignment horizontal="left" wrapText="1"/>
    </xf>
    <xf numFmtId="0" fontId="7" fillId="29" borderId="15" xfId="224" quotePrefix="1" applyFont="1" applyFill="1" applyBorder="1" applyAlignment="1">
      <alignment horizontal="center" vertical="center" wrapText="1"/>
    </xf>
    <xf numFmtId="0" fontId="11" fillId="0" borderId="15" xfId="224" applyFont="1" applyFill="1" applyBorder="1" applyAlignment="1">
      <alignment horizontal="left" vertical="top" wrapText="1"/>
    </xf>
    <xf numFmtId="0" fontId="7" fillId="29" borderId="16" xfId="224" quotePrefix="1" applyFont="1" applyFill="1" applyBorder="1" applyAlignment="1">
      <alignment horizontal="center" vertical="center" wrapText="1"/>
    </xf>
    <xf numFmtId="0" fontId="10" fillId="0" borderId="17" xfId="224" applyFont="1" applyBorder="1" applyAlignment="1">
      <alignment horizontal="left" vertical="top" wrapText="1" indent="1"/>
    </xf>
    <xf numFmtId="0" fontId="52" fillId="0" borderId="0" xfId="224" applyFont="1" applyAlignment="1">
      <alignment horizontal="right"/>
    </xf>
    <xf numFmtId="0" fontId="47" fillId="0" borderId="0" xfId="238" applyFont="1"/>
    <xf numFmtId="0" fontId="11" fillId="29" borderId="7" xfId="224" applyFont="1" applyFill="1" applyBorder="1" applyAlignment="1">
      <alignment horizontal="center" vertical="center"/>
    </xf>
    <xf numFmtId="0" fontId="4" fillId="0" borderId="13" xfId="224" applyFont="1" applyBorder="1"/>
    <xf numFmtId="0" fontId="11" fillId="29" borderId="0" xfId="224" applyFont="1" applyFill="1" applyAlignment="1">
      <alignment horizontal="left"/>
    </xf>
    <xf numFmtId="0" fontId="4" fillId="29" borderId="28" xfId="224" applyFont="1" applyFill="1" applyBorder="1" applyAlignment="1">
      <alignment vertical="center"/>
    </xf>
    <xf numFmtId="0" fontId="11" fillId="29" borderId="30" xfId="224" applyFont="1" applyFill="1" applyBorder="1" applyAlignment="1">
      <alignment horizontal="center"/>
    </xf>
    <xf numFmtId="0" fontId="10" fillId="29" borderId="24" xfId="224" applyFont="1" applyFill="1" applyBorder="1" applyAlignment="1">
      <alignment vertical="center" wrapText="1"/>
    </xf>
    <xf numFmtId="0" fontId="11" fillId="0" borderId="24" xfId="224" applyFont="1" applyFill="1" applyBorder="1" applyAlignment="1">
      <alignment vertical="center" wrapText="1"/>
    </xf>
    <xf numFmtId="0" fontId="121" fillId="0" borderId="0" xfId="224" applyFont="1" applyAlignment="1">
      <alignment horizontal="left"/>
    </xf>
    <xf numFmtId="3" fontId="10" fillId="35" borderId="12" xfId="163" applyNumberFormat="1" applyFont="1" applyFill="1" applyBorder="1" applyAlignment="1" applyProtection="1">
      <alignment horizontal="right" vertical="center" wrapText="1"/>
      <protection locked="0"/>
    </xf>
    <xf numFmtId="0" fontId="53" fillId="28" borderId="17" xfId="224" applyFont="1" applyFill="1" applyBorder="1" applyAlignment="1">
      <alignment horizontal="left" vertical="center" wrapText="1"/>
    </xf>
    <xf numFmtId="0" fontId="10" fillId="29" borderId="7" xfId="224" applyFont="1" applyFill="1" applyBorder="1" applyAlignment="1">
      <alignment vertical="center" wrapText="1"/>
    </xf>
    <xf numFmtId="0" fontId="12" fillId="0" borderId="0" xfId="224" applyFont="1" applyAlignment="1">
      <alignment horizontal="left" vertical="center"/>
    </xf>
    <xf numFmtId="0" fontId="56" fillId="0" borderId="0" xfId="224" applyFont="1" applyAlignment="1">
      <alignment vertical="center"/>
    </xf>
    <xf numFmtId="0" fontId="11" fillId="0" borderId="0" xfId="224" applyFont="1" applyFill="1" applyAlignment="1">
      <alignment horizontal="left" vertical="center"/>
    </xf>
    <xf numFmtId="0" fontId="5" fillId="0" borderId="0" xfId="224" applyFont="1" applyFill="1" applyAlignment="1">
      <alignment horizontal="left" vertical="center"/>
    </xf>
    <xf numFmtId="0" fontId="10" fillId="0" borderId="0" xfId="224" applyFont="1" applyAlignment="1">
      <alignment horizontal="justify" vertical="center"/>
    </xf>
    <xf numFmtId="0" fontId="53" fillId="27" borderId="18" xfId="224" applyFont="1" applyFill="1" applyBorder="1" applyAlignment="1">
      <alignment vertical="center" wrapText="1"/>
    </xf>
    <xf numFmtId="0" fontId="8" fillId="28" borderId="7" xfId="224" applyFont="1" applyFill="1" applyBorder="1" applyAlignment="1">
      <alignment vertical="center" wrapText="1"/>
    </xf>
    <xf numFmtId="0" fontId="121" fillId="0" borderId="0" xfId="224" applyFont="1" applyAlignment="1">
      <alignment horizontal="left" vertical="center" wrapText="1"/>
    </xf>
    <xf numFmtId="0" fontId="10" fillId="0" borderId="0" xfId="224" applyFont="1" applyBorder="1" applyAlignment="1">
      <alignment horizontal="center" vertical="center" wrapText="1"/>
    </xf>
    <xf numFmtId="0" fontId="51" fillId="0" borderId="0" xfId="224" applyFont="1" applyFill="1" applyAlignment="1">
      <alignment horizontal="left" vertical="center"/>
    </xf>
    <xf numFmtId="0" fontId="48" fillId="0" borderId="0" xfId="224" applyFont="1" applyAlignment="1">
      <alignment vertical="center"/>
    </xf>
    <xf numFmtId="0" fontId="11" fillId="27" borderId="16" xfId="224" applyFont="1" applyFill="1" applyBorder="1" applyAlignment="1">
      <alignment vertical="center" wrapText="1"/>
    </xf>
    <xf numFmtId="0" fontId="53" fillId="27" borderId="12" xfId="224" applyFont="1" applyFill="1" applyBorder="1" applyAlignment="1">
      <alignment vertical="center" wrapText="1"/>
    </xf>
    <xf numFmtId="0" fontId="11" fillId="27" borderId="17" xfId="224" applyFont="1" applyFill="1" applyBorder="1" applyAlignment="1">
      <alignment vertical="center" wrapText="1"/>
    </xf>
    <xf numFmtId="0" fontId="11" fillId="0" borderId="17" xfId="224" applyFont="1" applyFill="1" applyBorder="1" applyAlignment="1">
      <alignment vertical="center"/>
    </xf>
    <xf numFmtId="0" fontId="10" fillId="0" borderId="0" xfId="224" applyFont="1" applyAlignment="1">
      <alignment vertical="center"/>
    </xf>
    <xf numFmtId="0" fontId="5" fillId="0" borderId="0" xfId="224" applyFont="1" applyFill="1" applyAlignment="1"/>
    <xf numFmtId="0" fontId="11" fillId="29" borderId="7" xfId="221" applyFont="1" applyFill="1" applyBorder="1" applyAlignment="1">
      <alignment horizontal="center" vertical="center" wrapText="1"/>
    </xf>
    <xf numFmtId="0" fontId="8" fillId="28" borderId="18" xfId="224" applyFont="1" applyFill="1" applyBorder="1" applyAlignment="1">
      <alignment horizontal="left" vertical="center" wrapText="1"/>
    </xf>
    <xf numFmtId="0" fontId="75" fillId="30" borderId="7" xfId="224" applyFont="1" applyFill="1" applyBorder="1" applyAlignment="1">
      <alignment vertical="top" wrapText="1"/>
    </xf>
    <xf numFmtId="0" fontId="51" fillId="0" borderId="0" xfId="249" applyFont="1" applyFill="1" applyBorder="1" applyAlignment="1">
      <alignment horizontal="center" wrapText="1"/>
    </xf>
    <xf numFmtId="0" fontId="121" fillId="0" borderId="14" xfId="224" applyFont="1" applyBorder="1" applyAlignment="1"/>
    <xf numFmtId="0" fontId="56" fillId="0" borderId="0" xfId="249" applyFont="1"/>
    <xf numFmtId="0" fontId="4" fillId="0" borderId="0" xfId="249" applyFont="1" applyAlignment="1">
      <alignment horizontal="center" vertical="center"/>
    </xf>
    <xf numFmtId="0" fontId="4" fillId="29" borderId="31" xfId="249" applyFont="1" applyFill="1" applyBorder="1" applyAlignment="1">
      <alignment horizontal="center" vertical="center"/>
    </xf>
    <xf numFmtId="0" fontId="58" fillId="29" borderId="29" xfId="249" applyFont="1" applyFill="1" applyBorder="1" applyAlignment="1">
      <alignment horizontal="center" vertical="center" wrapText="1"/>
    </xf>
    <xf numFmtId="0" fontId="51" fillId="29" borderId="19" xfId="249" applyFont="1" applyFill="1" applyBorder="1" applyAlignment="1">
      <alignment horizontal="center" vertical="center" wrapText="1"/>
    </xf>
    <xf numFmtId="0" fontId="51" fillId="29" borderId="24" xfId="249" applyFont="1" applyFill="1" applyBorder="1" applyAlignment="1">
      <alignment horizontal="center" vertical="center" wrapText="1"/>
    </xf>
    <xf numFmtId="0" fontId="11" fillId="0" borderId="12" xfId="249" applyFont="1" applyFill="1" applyBorder="1" applyAlignment="1">
      <alignment vertical="top" wrapText="1"/>
    </xf>
    <xf numFmtId="0" fontId="11" fillId="0" borderId="18" xfId="249" applyFont="1" applyFill="1" applyBorder="1" applyAlignment="1">
      <alignment vertical="top" wrapText="1"/>
    </xf>
    <xf numFmtId="0" fontId="8" fillId="0" borderId="18" xfId="249" applyFont="1" applyFill="1" applyBorder="1" applyAlignment="1">
      <alignment horizontal="left" wrapText="1"/>
    </xf>
    <xf numFmtId="0" fontId="8" fillId="0" borderId="7" xfId="249" applyFont="1" applyFill="1" applyBorder="1" applyAlignment="1">
      <alignment wrapText="1"/>
    </xf>
    <xf numFmtId="0" fontId="11" fillId="0" borderId="16" xfId="249" applyFont="1" applyBorder="1" applyAlignment="1">
      <alignment wrapText="1"/>
    </xf>
    <xf numFmtId="0" fontId="8" fillId="0" borderId="15" xfId="249" applyFont="1" applyBorder="1" applyAlignment="1">
      <alignment horizontal="left" wrapText="1"/>
    </xf>
    <xf numFmtId="0" fontId="121" fillId="0" borderId="0" xfId="249" applyFont="1"/>
    <xf numFmtId="0" fontId="11" fillId="0" borderId="12" xfId="249" applyFont="1" applyBorder="1" applyAlignment="1">
      <alignment wrapText="1"/>
    </xf>
    <xf numFmtId="0" fontId="8" fillId="0" borderId="12" xfId="249" applyFont="1" applyFill="1" applyBorder="1" applyAlignment="1">
      <alignment horizontal="left" wrapText="1"/>
    </xf>
    <xf numFmtId="0" fontId="8" fillId="28" borderId="12" xfId="249" applyFont="1" applyFill="1" applyBorder="1" applyAlignment="1">
      <alignment horizontal="left" wrapText="1"/>
    </xf>
    <xf numFmtId="0" fontId="11" fillId="0" borderId="17" xfId="249" applyFont="1" applyBorder="1" applyAlignment="1">
      <alignment wrapText="1"/>
    </xf>
    <xf numFmtId="0" fontId="8" fillId="0" borderId="17" xfId="249" applyFont="1" applyFill="1" applyBorder="1" applyAlignment="1">
      <alignment wrapText="1"/>
    </xf>
    <xf numFmtId="0" fontId="11" fillId="28" borderId="7" xfId="249" applyFont="1" applyFill="1" applyBorder="1" applyAlignment="1">
      <alignment wrapText="1"/>
    </xf>
    <xf numFmtId="0" fontId="8" fillId="0" borderId="7" xfId="249" applyFont="1" applyFill="1" applyBorder="1" applyAlignment="1">
      <alignment horizontal="left" wrapText="1"/>
    </xf>
    <xf numFmtId="0" fontId="121" fillId="0" borderId="0" xfId="224" applyFont="1" applyBorder="1" applyAlignment="1"/>
    <xf numFmtId="0" fontId="103" fillId="0" borderId="0" xfId="224" applyFont="1" applyAlignment="1">
      <alignment horizontal="left"/>
    </xf>
    <xf numFmtId="0" fontId="104" fillId="29" borderId="31" xfId="224" applyFont="1" applyFill="1" applyBorder="1"/>
    <xf numFmtId="0" fontId="105" fillId="29" borderId="19" xfId="224" applyFont="1" applyFill="1" applyBorder="1" applyAlignment="1">
      <alignment horizontal="center" textRotation="90" wrapText="1"/>
    </xf>
    <xf numFmtId="0" fontId="48" fillId="29" borderId="32" xfId="224" applyFont="1" applyFill="1" applyBorder="1"/>
    <xf numFmtId="0" fontId="107" fillId="29" borderId="7" xfId="224" applyFont="1" applyFill="1" applyBorder="1" applyAlignment="1">
      <alignment horizontal="center" vertical="center" wrapText="1"/>
    </xf>
    <xf numFmtId="0" fontId="48" fillId="29" borderId="28" xfId="224" applyFont="1" applyFill="1" applyBorder="1"/>
    <xf numFmtId="0" fontId="105" fillId="29" borderId="30" xfId="224" applyFont="1" applyFill="1" applyBorder="1" applyAlignment="1">
      <alignment horizontal="left" vertical="center"/>
    </xf>
    <xf numFmtId="0" fontId="64" fillId="29" borderId="19" xfId="224" quotePrefix="1" applyFont="1" applyFill="1" applyBorder="1" applyAlignment="1">
      <alignment horizontal="center" vertical="center" wrapText="1"/>
    </xf>
    <xf numFmtId="0" fontId="64" fillId="29" borderId="19" xfId="224" applyFont="1" applyFill="1" applyBorder="1" applyAlignment="1">
      <alignment horizontal="center" vertical="center" wrapText="1"/>
    </xf>
    <xf numFmtId="0" fontId="108" fillId="0" borderId="0" xfId="224" applyFont="1"/>
    <xf numFmtId="0" fontId="104" fillId="29" borderId="16" xfId="221" applyFont="1" applyFill="1" applyBorder="1" applyAlignment="1">
      <alignment horizontal="center" vertical="center" wrapText="1"/>
    </xf>
    <xf numFmtId="0" fontId="105" fillId="0" borderId="16" xfId="224" applyFont="1" applyFill="1" applyBorder="1" applyAlignment="1">
      <alignment horizontal="left" vertical="center" wrapText="1"/>
    </xf>
    <xf numFmtId="0" fontId="105" fillId="0" borderId="15" xfId="224" applyFont="1" applyFill="1" applyBorder="1" applyAlignment="1">
      <alignment horizontal="left" vertical="center" wrapText="1"/>
    </xf>
    <xf numFmtId="0" fontId="121" fillId="0" borderId="0" xfId="224" applyFont="1" applyFill="1" applyAlignment="1">
      <alignment horizontal="left"/>
    </xf>
    <xf numFmtId="0" fontId="109" fillId="29" borderId="12" xfId="221" applyFont="1" applyFill="1" applyBorder="1" applyAlignment="1">
      <alignment horizontal="center" vertical="center" wrapText="1"/>
    </xf>
    <xf numFmtId="0" fontId="64" fillId="0" borderId="12" xfId="224" applyFont="1" applyFill="1" applyBorder="1" applyAlignment="1">
      <alignment horizontal="left" vertical="center" wrapText="1" indent="1"/>
    </xf>
    <xf numFmtId="0" fontId="107" fillId="0" borderId="12" xfId="224" applyFont="1" applyFill="1" applyBorder="1" applyAlignment="1">
      <alignment horizontal="left" vertical="center" wrapText="1"/>
    </xf>
    <xf numFmtId="0" fontId="109" fillId="29" borderId="18" xfId="221" applyFont="1" applyFill="1" applyBorder="1" applyAlignment="1">
      <alignment horizontal="center" vertical="center" wrapText="1"/>
    </xf>
    <xf numFmtId="0" fontId="64" fillId="0" borderId="17" xfId="224" applyFont="1" applyFill="1" applyBorder="1" applyAlignment="1">
      <alignment horizontal="left" vertical="center" wrapText="1" indent="1"/>
    </xf>
    <xf numFmtId="0" fontId="107" fillId="0" borderId="17" xfId="224" applyFont="1" applyFill="1" applyBorder="1" applyAlignment="1">
      <alignment horizontal="left" vertical="center" wrapText="1"/>
    </xf>
    <xf numFmtId="0" fontId="104" fillId="29" borderId="7" xfId="221" applyFont="1" applyFill="1" applyBorder="1" applyAlignment="1">
      <alignment horizontal="center" vertical="center" wrapText="1"/>
    </xf>
    <xf numFmtId="0" fontId="105" fillId="0" borderId="7" xfId="224" applyFont="1" applyFill="1" applyBorder="1" applyAlignment="1">
      <alignment horizontal="left" vertical="center" wrapText="1"/>
    </xf>
    <xf numFmtId="0" fontId="121" fillId="0" borderId="0" xfId="224" applyFont="1" applyAlignment="1">
      <alignment horizontal="left" wrapText="1"/>
    </xf>
    <xf numFmtId="0" fontId="109" fillId="29" borderId="16" xfId="221" applyFont="1" applyFill="1" applyBorder="1" applyAlignment="1">
      <alignment horizontal="center" vertical="center" wrapText="1"/>
    </xf>
    <xf numFmtId="0" fontId="64" fillId="0" borderId="16" xfId="224" applyFont="1" applyFill="1" applyBorder="1" applyAlignment="1">
      <alignment horizontal="left" vertical="center" wrapText="1" indent="1"/>
    </xf>
    <xf numFmtId="0" fontId="107" fillId="0" borderId="16" xfId="224" applyFont="1" applyFill="1" applyBorder="1" applyAlignment="1">
      <alignment horizontal="left" vertical="center" wrapText="1"/>
    </xf>
    <xf numFmtId="0" fontId="105" fillId="0" borderId="0" xfId="224" applyFont="1" applyFill="1" applyBorder="1" applyAlignment="1">
      <alignment horizontal="left" vertical="center" wrapText="1"/>
    </xf>
    <xf numFmtId="0" fontId="4" fillId="0" borderId="0" xfId="224" applyFont="1" applyFill="1" applyBorder="1"/>
    <xf numFmtId="0" fontId="121" fillId="0" borderId="14" xfId="221" applyFont="1" applyBorder="1" applyAlignment="1">
      <alignment wrapText="1"/>
    </xf>
    <xf numFmtId="0" fontId="81" fillId="0" borderId="0" xfId="224" applyFont="1" applyAlignment="1">
      <alignment horizontal="right"/>
    </xf>
    <xf numFmtId="0" fontId="121" fillId="0" borderId="0" xfId="221" applyFont="1" applyBorder="1" applyAlignment="1">
      <alignment horizontal="left" vertical="top"/>
    </xf>
    <xf numFmtId="0" fontId="121" fillId="0" borderId="14" xfId="221" applyFont="1" applyBorder="1" applyAlignment="1">
      <alignment horizontal="left" vertical="top" wrapText="1"/>
    </xf>
    <xf numFmtId="0" fontId="121" fillId="0" borderId="14" xfId="221" applyFont="1" applyBorder="1" applyAlignment="1">
      <alignment horizontal="right" vertical="top" wrapText="1"/>
    </xf>
    <xf numFmtId="0" fontId="121" fillId="0" borderId="0" xfId="221" applyFont="1" applyBorder="1" applyAlignment="1">
      <alignment vertical="top"/>
    </xf>
    <xf numFmtId="3" fontId="110" fillId="0" borderId="0" xfId="221" applyNumberFormat="1" applyFont="1" applyFill="1" applyBorder="1" applyAlignment="1" applyProtection="1">
      <alignment horizontal="right" vertical="center" wrapText="1"/>
    </xf>
    <xf numFmtId="3" fontId="111" fillId="0" borderId="0" xfId="221" applyNumberFormat="1" applyFont="1" applyFill="1" applyBorder="1" applyAlignment="1" applyProtection="1">
      <alignment horizontal="right" vertical="center" wrapText="1"/>
    </xf>
    <xf numFmtId="0" fontId="10" fillId="0" borderId="0" xfId="255" applyFont="1" applyFill="1" applyAlignment="1">
      <alignment horizontal="right"/>
    </xf>
    <xf numFmtId="0" fontId="121" fillId="0" borderId="0" xfId="0" applyFont="1"/>
    <xf numFmtId="0" fontId="77" fillId="0" borderId="13" xfId="224" applyFont="1" applyFill="1" applyBorder="1" applyAlignment="1">
      <alignment wrapText="1"/>
    </xf>
    <xf numFmtId="165" fontId="72" fillId="31" borderId="12" xfId="162" applyNumberFormat="1" applyFont="1" applyFill="1" applyBorder="1" applyAlignment="1" applyProtection="1">
      <alignment horizontal="right" vertical="top" wrapText="1"/>
    </xf>
    <xf numFmtId="165" fontId="72" fillId="33" borderId="17" xfId="162" applyNumberFormat="1" applyFont="1" applyFill="1" applyBorder="1" applyAlignment="1" applyProtection="1">
      <alignment horizontal="left" vertical="center" wrapText="1"/>
      <protection locked="0"/>
    </xf>
    <xf numFmtId="0" fontId="120" fillId="0" borderId="0" xfId="224" applyFont="1"/>
    <xf numFmtId="0" fontId="120" fillId="0" borderId="14" xfId="224" applyFont="1" applyFill="1" applyBorder="1" applyAlignment="1">
      <alignment vertical="center" wrapText="1"/>
    </xf>
    <xf numFmtId="0" fontId="120" fillId="0" borderId="0" xfId="224" applyFont="1" applyFill="1" applyBorder="1" applyAlignment="1">
      <alignment vertical="center" wrapText="1"/>
    </xf>
    <xf numFmtId="0" fontId="120" fillId="0" borderId="0" xfId="224" applyFont="1" applyFill="1" applyBorder="1" applyAlignment="1">
      <alignment horizontal="left" vertical="top" wrapText="1"/>
    </xf>
    <xf numFmtId="0" fontId="121" fillId="0" borderId="0" xfId="249" applyFont="1" applyFill="1" applyAlignment="1">
      <alignment horizontal="left"/>
    </xf>
    <xf numFmtId="0" fontId="120" fillId="0" borderId="0" xfId="224" applyFont="1" applyFill="1" applyBorder="1" applyAlignment="1">
      <alignment horizontal="left" vertical="top" wrapText="1"/>
    </xf>
    <xf numFmtId="0" fontId="9" fillId="29" borderId="19" xfId="0" applyFont="1" applyFill="1" applyBorder="1" applyAlignment="1">
      <alignment horizontal="center" vertical="center" wrapText="1"/>
    </xf>
    <xf numFmtId="165" fontId="72" fillId="33" borderId="12" xfId="163" applyNumberFormat="1" applyFont="1" applyFill="1" applyBorder="1" applyAlignment="1" applyProtection="1">
      <alignment horizontal="right" vertical="center" wrapText="1"/>
      <protection locked="0"/>
    </xf>
    <xf numFmtId="0" fontId="4" fillId="29" borderId="25" xfId="0" applyFont="1" applyFill="1" applyBorder="1" applyAlignment="1">
      <alignment wrapText="1"/>
    </xf>
    <xf numFmtId="0" fontId="121" fillId="0" borderId="0" xfId="0" applyFont="1" applyFill="1"/>
    <xf numFmtId="0" fontId="0" fillId="0" borderId="0" xfId="0" applyFill="1" applyBorder="1" applyAlignment="1">
      <alignment horizontal="left" vertical="top"/>
    </xf>
    <xf numFmtId="0" fontId="147" fillId="0" borderId="0" xfId="224" applyFont="1"/>
    <xf numFmtId="0" fontId="11" fillId="29" borderId="19" xfId="224" applyFont="1" applyFill="1" applyBorder="1" applyAlignment="1">
      <alignment horizontal="center" vertical="center" wrapText="1"/>
    </xf>
    <xf numFmtId="0" fontId="121" fillId="0" borderId="0" xfId="236" applyFont="1" applyAlignment="1">
      <alignment horizontal="left" vertical="top" wrapText="1"/>
    </xf>
    <xf numFmtId="0" fontId="11" fillId="29" borderId="7" xfId="0" applyFont="1" applyFill="1" applyBorder="1" applyAlignment="1">
      <alignment horizontal="center" textRotation="90" wrapText="1"/>
    </xf>
    <xf numFmtId="0" fontId="11" fillId="29" borderId="19" xfId="0" applyFont="1" applyFill="1" applyBorder="1" applyAlignment="1">
      <alignment horizontal="center" vertical="center" wrapText="1"/>
    </xf>
    <xf numFmtId="0" fontId="10" fillId="29" borderId="29" xfId="0" applyFont="1" applyFill="1" applyBorder="1" applyAlignment="1">
      <alignment wrapText="1"/>
    </xf>
    <xf numFmtId="0" fontId="121" fillId="0" borderId="0" xfId="0" applyFont="1"/>
    <xf numFmtId="0" fontId="11" fillId="29" borderId="21" xfId="237" applyFont="1" applyFill="1" applyBorder="1" applyAlignment="1">
      <alignment horizontal="center" vertical="center" wrapText="1"/>
    </xf>
    <xf numFmtId="0" fontId="11" fillId="29" borderId="33" xfId="237" applyFont="1" applyFill="1" applyBorder="1" applyAlignment="1">
      <alignment vertical="center" wrapText="1"/>
    </xf>
    <xf numFmtId="0" fontId="11" fillId="29" borderId="7" xfId="237" applyFont="1" applyFill="1" applyBorder="1" applyAlignment="1">
      <alignment horizontal="center" vertical="center" wrapText="1"/>
    </xf>
    <xf numFmtId="0" fontId="11" fillId="29" borderId="29" xfId="224" applyFont="1" applyFill="1" applyBorder="1" applyAlignment="1">
      <alignment horizontal="center" vertical="center" wrapText="1"/>
    </xf>
    <xf numFmtId="0" fontId="11" fillId="29" borderId="21" xfId="224" applyFont="1" applyFill="1" applyBorder="1" applyAlignment="1">
      <alignment horizontal="center" vertical="center"/>
    </xf>
    <xf numFmtId="0" fontId="11" fillId="29" borderId="21" xfId="224" applyFont="1" applyFill="1" applyBorder="1" applyAlignment="1">
      <alignment horizontal="center" vertical="center" wrapText="1"/>
    </xf>
    <xf numFmtId="0" fontId="121" fillId="0" borderId="0" xfId="224" applyFont="1"/>
    <xf numFmtId="0" fontId="51" fillId="29" borderId="19" xfId="224" applyFont="1" applyFill="1" applyBorder="1" applyAlignment="1">
      <alignment horizontal="center" vertical="center" wrapText="1"/>
    </xf>
    <xf numFmtId="0" fontId="51" fillId="29" borderId="25" xfId="224" applyFont="1" applyFill="1" applyBorder="1" applyAlignment="1">
      <alignment horizontal="center" vertical="center" wrapText="1"/>
    </xf>
    <xf numFmtId="0" fontId="51" fillId="29" borderId="24" xfId="224" applyFont="1" applyFill="1" applyBorder="1" applyAlignment="1">
      <alignment horizontal="center" vertical="center" wrapText="1"/>
    </xf>
    <xf numFmtId="0" fontId="11" fillId="29" borderId="33" xfId="224" applyFont="1" applyFill="1" applyBorder="1" applyAlignment="1">
      <alignment horizontal="left" vertical="center" wrapText="1"/>
    </xf>
    <xf numFmtId="0" fontId="11" fillId="29" borderId="29" xfId="224" applyFont="1" applyFill="1" applyBorder="1" applyAlignment="1">
      <alignment horizontal="center" vertical="center"/>
    </xf>
    <xf numFmtId="0" fontId="121" fillId="0" borderId="0" xfId="236" applyFont="1" applyAlignment="1">
      <alignment horizontal="left" vertical="top" wrapText="1"/>
    </xf>
    <xf numFmtId="0" fontId="121" fillId="0" borderId="0" xfId="236" applyFont="1" applyAlignment="1">
      <alignment horizontal="left" wrapText="1"/>
    </xf>
    <xf numFmtId="0" fontId="8" fillId="28" borderId="17" xfId="0" applyFont="1" applyFill="1" applyBorder="1" applyAlignment="1">
      <alignment horizontal="left" vertical="center" wrapText="1"/>
    </xf>
    <xf numFmtId="0" fontId="10" fillId="29" borderId="17" xfId="224" quotePrefix="1" applyFont="1" applyFill="1" applyBorder="1" applyAlignment="1">
      <alignment horizontal="center" vertical="center" wrapText="1"/>
    </xf>
    <xf numFmtId="0" fontId="114" fillId="29" borderId="24" xfId="252" applyFont="1" applyFill="1" applyBorder="1" applyAlignment="1">
      <alignment vertical="center" wrapText="1"/>
    </xf>
    <xf numFmtId="0" fontId="8" fillId="0" borderId="19" xfId="224" applyFont="1" applyFill="1" applyBorder="1" applyAlignment="1">
      <alignment vertical="center" wrapText="1"/>
    </xf>
    <xf numFmtId="0" fontId="8" fillId="29" borderId="33" xfId="224" applyFont="1" applyFill="1" applyBorder="1" applyAlignment="1">
      <alignment wrapText="1"/>
    </xf>
    <xf numFmtId="0" fontId="8" fillId="29" borderId="19" xfId="224" applyFont="1" applyFill="1" applyBorder="1" applyAlignment="1">
      <alignment horizontal="center" vertical="center" wrapText="1"/>
    </xf>
    <xf numFmtId="0" fontId="10" fillId="29" borderId="25" xfId="224" quotePrefix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0" fillId="29" borderId="24" xfId="224" quotePrefix="1" applyFont="1" applyFill="1" applyBorder="1" applyAlignment="1">
      <alignment horizontal="center" vertical="center" wrapText="1"/>
    </xf>
    <xf numFmtId="3" fontId="75" fillId="34" borderId="12" xfId="163" applyNumberFormat="1" applyFont="1" applyFill="1" applyBorder="1" applyAlignment="1" applyProtection="1">
      <alignment vertical="center" wrapText="1"/>
      <protection locked="0"/>
    </xf>
    <xf numFmtId="0" fontId="8" fillId="0" borderId="15" xfId="255" applyFont="1" applyFill="1" applyBorder="1" applyAlignment="1">
      <alignment horizontal="left" vertical="center" wrapText="1"/>
    </xf>
    <xf numFmtId="0" fontId="8" fillId="0" borderId="18" xfId="255" applyFont="1" applyFill="1" applyBorder="1" applyAlignment="1">
      <alignment horizontal="left" vertical="center" wrapText="1"/>
    </xf>
    <xf numFmtId="0" fontId="8" fillId="0" borderId="27" xfId="230" applyFont="1" applyFill="1" applyBorder="1" applyAlignment="1">
      <alignment horizontal="left" vertical="center" wrapText="1"/>
    </xf>
    <xf numFmtId="0" fontId="8" fillId="0" borderId="18" xfId="230" applyFont="1" applyFill="1" applyBorder="1" applyAlignment="1">
      <alignment horizontal="left" vertical="center" wrapText="1"/>
    </xf>
    <xf numFmtId="0" fontId="8" fillId="0" borderId="12" xfId="230" applyFont="1" applyFill="1" applyBorder="1" applyAlignment="1">
      <alignment horizontal="left" vertical="center" wrapText="1"/>
    </xf>
    <xf numFmtId="0" fontId="8" fillId="0" borderId="17" xfId="0" quotePrefix="1" applyFont="1" applyFill="1" applyBorder="1" applyAlignment="1">
      <alignment vertical="center" wrapText="1"/>
    </xf>
    <xf numFmtId="0" fontId="11" fillId="29" borderId="7" xfId="255" applyFont="1" applyFill="1" applyBorder="1" applyAlignment="1">
      <alignment horizontal="center" vertical="center" wrapText="1"/>
    </xf>
    <xf numFmtId="0" fontId="8" fillId="29" borderId="7" xfId="224" applyFont="1" applyFill="1" applyBorder="1" applyAlignment="1">
      <alignment horizontal="center" vertical="center"/>
    </xf>
    <xf numFmtId="0" fontId="10" fillId="29" borderId="7" xfId="255" quotePrefix="1" applyFont="1" applyFill="1" applyBorder="1" applyAlignment="1">
      <alignment horizontal="center" vertical="center" wrapText="1"/>
    </xf>
    <xf numFmtId="0" fontId="8" fillId="29" borderId="7" xfId="255" applyFont="1" applyFill="1" applyBorder="1" applyAlignment="1">
      <alignment horizontal="center" vertical="center" wrapText="1"/>
    </xf>
    <xf numFmtId="0" fontId="77" fillId="0" borderId="0" xfId="224" applyFont="1" applyFill="1" applyBorder="1" applyAlignment="1">
      <alignment wrapText="1"/>
    </xf>
    <xf numFmtId="0" fontId="117" fillId="29" borderId="34" xfId="255" applyFont="1" applyFill="1" applyBorder="1" applyAlignment="1">
      <alignment horizontal="center" vertical="center" wrapText="1"/>
    </xf>
    <xf numFmtId="0" fontId="11" fillId="29" borderId="34" xfId="255" applyFont="1" applyFill="1" applyBorder="1" applyAlignment="1">
      <alignment horizontal="center" vertical="center" wrapText="1"/>
    </xf>
    <xf numFmtId="0" fontId="11" fillId="29" borderId="8" xfId="255" applyFont="1" applyFill="1" applyBorder="1" applyAlignment="1">
      <alignment horizontal="center" vertical="center" wrapText="1"/>
    </xf>
    <xf numFmtId="0" fontId="11" fillId="29" borderId="21" xfId="255" applyFont="1" applyFill="1" applyBorder="1" applyAlignment="1">
      <alignment horizontal="center" vertical="center" wrapText="1"/>
    </xf>
    <xf numFmtId="0" fontId="10" fillId="29" borderId="7" xfId="224" quotePrefix="1" applyFont="1" applyFill="1" applyBorder="1" applyAlignment="1">
      <alignment horizontal="center" wrapText="1"/>
    </xf>
    <xf numFmtId="0" fontId="75" fillId="29" borderId="0" xfId="224" applyFont="1" applyFill="1" applyBorder="1" applyAlignment="1">
      <alignment horizontal="left"/>
    </xf>
    <xf numFmtId="0" fontId="75" fillId="29" borderId="8" xfId="0" applyFont="1" applyFill="1" applyBorder="1" applyAlignment="1">
      <alignment horizontal="center" vertical="center" wrapText="1"/>
    </xf>
    <xf numFmtId="0" fontId="4" fillId="29" borderId="32" xfId="224" applyFont="1" applyFill="1" applyBorder="1" applyAlignment="1">
      <alignment horizontal="center" vertical="center"/>
    </xf>
    <xf numFmtId="0" fontId="58" fillId="29" borderId="33" xfId="249" applyFont="1" applyFill="1" applyBorder="1" applyAlignment="1">
      <alignment horizontal="left" vertical="center" wrapText="1"/>
    </xf>
    <xf numFmtId="0" fontId="120" fillId="0" borderId="0" xfId="249" applyFont="1" applyFill="1" applyBorder="1" applyAlignment="1">
      <alignment horizontal="left" vertical="top" wrapText="1"/>
    </xf>
    <xf numFmtId="0" fontId="120" fillId="0" borderId="0" xfId="249" applyFont="1" applyFill="1" applyBorder="1" applyAlignment="1">
      <alignment horizontal="center" wrapText="1"/>
    </xf>
    <xf numFmtId="0" fontId="118" fillId="0" borderId="0" xfId="249" applyFont="1"/>
    <xf numFmtId="0" fontId="120" fillId="29" borderId="31" xfId="249" applyFont="1" applyFill="1" applyBorder="1"/>
    <xf numFmtId="0" fontId="150" fillId="29" borderId="29" xfId="224" applyFont="1" applyFill="1" applyBorder="1" applyAlignment="1">
      <alignment vertical="center" wrapText="1"/>
    </xf>
    <xf numFmtId="0" fontId="120" fillId="29" borderId="32" xfId="249" applyFont="1" applyFill="1" applyBorder="1"/>
    <xf numFmtId="0" fontId="150" fillId="29" borderId="33" xfId="224" applyFont="1" applyFill="1" applyBorder="1" applyAlignment="1">
      <alignment vertical="center" wrapText="1"/>
    </xf>
    <xf numFmtId="0" fontId="120" fillId="29" borderId="28" xfId="249" applyFont="1" applyFill="1" applyBorder="1"/>
    <xf numFmtId="0" fontId="150" fillId="29" borderId="30" xfId="224" applyFont="1" applyFill="1" applyBorder="1" applyAlignment="1">
      <alignment vertical="center" wrapText="1"/>
    </xf>
    <xf numFmtId="0" fontId="58" fillId="29" borderId="33" xfId="249" applyFont="1" applyFill="1" applyBorder="1" applyAlignment="1">
      <alignment wrapText="1"/>
    </xf>
    <xf numFmtId="0" fontId="47" fillId="29" borderId="32" xfId="224" applyFont="1" applyFill="1" applyBorder="1" applyAlignment="1">
      <alignment vertical="center"/>
    </xf>
    <xf numFmtId="0" fontId="10" fillId="29" borderId="33" xfId="224" applyFont="1" applyFill="1" applyBorder="1" applyAlignment="1">
      <alignment vertical="center" wrapText="1"/>
    </xf>
    <xf numFmtId="0" fontId="5" fillId="29" borderId="25" xfId="224" applyFont="1" applyFill="1" applyBorder="1" applyAlignment="1">
      <alignment horizontal="center" vertical="center" wrapText="1"/>
    </xf>
    <xf numFmtId="0" fontId="6" fillId="29" borderId="7" xfId="224" applyFont="1" applyFill="1" applyBorder="1" applyAlignment="1">
      <alignment horizontal="center" vertical="center" wrapText="1"/>
    </xf>
    <xf numFmtId="0" fontId="10" fillId="29" borderId="12" xfId="0" quotePrefix="1" applyFont="1" applyFill="1" applyBorder="1" applyAlignment="1">
      <alignment horizontal="center" vertical="center" wrapText="1"/>
    </xf>
    <xf numFmtId="165" fontId="77" fillId="33" borderId="18" xfId="162" applyNumberFormat="1" applyFont="1" applyFill="1" applyBorder="1" applyAlignment="1" applyProtection="1">
      <alignment horizontal="center" vertical="center" wrapText="1"/>
      <protection locked="0"/>
    </xf>
    <xf numFmtId="166" fontId="77" fillId="34" borderId="18" xfId="162" applyNumberFormat="1" applyFont="1" applyFill="1" applyBorder="1" applyAlignment="1" applyProtection="1">
      <alignment horizontal="center" vertical="center" wrapText="1"/>
      <protection locked="0"/>
    </xf>
    <xf numFmtId="0" fontId="11" fillId="29" borderId="34" xfId="224" applyFont="1" applyFill="1" applyBorder="1" applyAlignment="1">
      <alignment horizontal="center" vertical="top"/>
    </xf>
    <xf numFmtId="0" fontId="10" fillId="29" borderId="33" xfId="224" applyFont="1" applyFill="1" applyBorder="1" applyAlignment="1">
      <alignment horizontal="justify" vertical="top" wrapText="1"/>
    </xf>
    <xf numFmtId="0" fontId="8" fillId="29" borderId="19" xfId="224" applyFont="1" applyFill="1" applyBorder="1" applyAlignment="1">
      <alignment horizontal="center" vertical="top" wrapText="1"/>
    </xf>
    <xf numFmtId="0" fontId="12" fillId="0" borderId="0" xfId="224" applyFont="1" applyFill="1"/>
    <xf numFmtId="0" fontId="11" fillId="0" borderId="0" xfId="224" applyFont="1" applyFill="1"/>
    <xf numFmtId="0" fontId="10" fillId="0" borderId="23" xfId="224" applyFont="1" applyFill="1" applyBorder="1" applyAlignment="1">
      <alignment horizontal="left" vertical="center" wrapText="1" indent="1"/>
    </xf>
    <xf numFmtId="0" fontId="8" fillId="0" borderId="22" xfId="237" applyFont="1" applyFill="1" applyBorder="1" applyAlignment="1">
      <alignment horizontal="left" vertical="center" wrapText="1" indent="2"/>
    </xf>
    <xf numFmtId="0" fontId="8" fillId="0" borderId="22" xfId="224" applyFont="1" applyFill="1" applyBorder="1" applyAlignment="1">
      <alignment horizontal="left" vertical="center" wrapText="1" indent="2"/>
    </xf>
    <xf numFmtId="0" fontId="11" fillId="0" borderId="8" xfId="224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136" fillId="0" borderId="0" xfId="0" applyFont="1"/>
    <xf numFmtId="0" fontId="151" fillId="0" borderId="0" xfId="224" applyFont="1" applyFill="1"/>
    <xf numFmtId="0" fontId="8" fillId="0" borderId="15" xfId="237" applyFont="1" applyFill="1" applyBorder="1" applyAlignment="1">
      <alignment horizontal="justify" vertical="center" wrapText="1"/>
    </xf>
    <xf numFmtId="0" fontId="10" fillId="0" borderId="15" xfId="237" applyFont="1" applyFill="1" applyBorder="1" applyAlignment="1">
      <alignment vertical="center"/>
    </xf>
    <xf numFmtId="0" fontId="8" fillId="0" borderId="15" xfId="237" applyFont="1" applyFill="1" applyBorder="1" applyAlignment="1">
      <alignment vertical="center" wrapText="1"/>
    </xf>
    <xf numFmtId="0" fontId="10" fillId="0" borderId="12" xfId="237" applyFont="1" applyBorder="1" applyAlignment="1">
      <alignment vertical="center" wrapText="1"/>
    </xf>
    <xf numFmtId="0" fontId="10" fillId="0" borderId="17" xfId="237" applyFont="1" applyBorder="1" applyAlignment="1">
      <alignment vertical="center"/>
    </xf>
    <xf numFmtId="0" fontId="8" fillId="28" borderId="17" xfId="237" applyFont="1" applyFill="1" applyBorder="1" applyAlignment="1">
      <alignment vertical="center" wrapText="1"/>
    </xf>
    <xf numFmtId="0" fontId="136" fillId="0" borderId="0" xfId="221" applyFont="1"/>
    <xf numFmtId="0" fontId="119" fillId="0" borderId="0" xfId="237" applyFont="1"/>
    <xf numFmtId="0" fontId="117" fillId="32" borderId="17" xfId="237" applyFont="1" applyFill="1" applyBorder="1" applyAlignment="1">
      <alignment vertical="top" wrapText="1"/>
    </xf>
    <xf numFmtId="0" fontId="117" fillId="0" borderId="0" xfId="0" applyFont="1"/>
    <xf numFmtId="0" fontId="120" fillId="30" borderId="7" xfId="236" quotePrefix="1" applyFont="1" applyFill="1" applyBorder="1" applyAlignment="1">
      <alignment horizontal="center" vertical="center" wrapText="1"/>
    </xf>
    <xf numFmtId="0" fontId="116" fillId="30" borderId="18" xfId="224" applyFont="1" applyFill="1" applyBorder="1" applyAlignment="1">
      <alignment horizontal="left" vertical="center" wrapText="1"/>
    </xf>
    <xf numFmtId="0" fontId="117" fillId="30" borderId="7" xfId="224" applyFont="1" applyFill="1" applyBorder="1" applyAlignment="1">
      <alignment horizontal="center" vertical="center" wrapText="1"/>
    </xf>
    <xf numFmtId="0" fontId="116" fillId="30" borderId="17" xfId="224" applyFont="1" applyFill="1" applyBorder="1" applyAlignment="1">
      <alignment horizontal="left" vertical="center" wrapText="1"/>
    </xf>
    <xf numFmtId="0" fontId="8" fillId="28" borderId="12" xfId="237" applyFont="1" applyFill="1" applyBorder="1" applyAlignment="1">
      <alignment horizontal="justify" vertical="top"/>
    </xf>
    <xf numFmtId="0" fontId="8" fillId="28" borderId="21" xfId="237" applyFont="1" applyFill="1" applyBorder="1" applyAlignment="1">
      <alignment horizontal="left" vertical="center"/>
    </xf>
    <xf numFmtId="0" fontId="8" fillId="0" borderId="15" xfId="237" applyFont="1" applyFill="1" applyBorder="1" applyAlignment="1">
      <alignment wrapText="1"/>
    </xf>
    <xf numFmtId="0" fontId="8" fillId="0" borderId="12" xfId="237" applyFont="1" applyFill="1" applyBorder="1" applyAlignment="1">
      <alignment wrapText="1"/>
    </xf>
    <xf numFmtId="0" fontId="8" fillId="28" borderId="17" xfId="237" applyFont="1" applyFill="1" applyBorder="1" applyAlignment="1">
      <alignment wrapText="1"/>
    </xf>
    <xf numFmtId="0" fontId="11" fillId="0" borderId="0" xfId="224" applyFont="1" applyAlignment="1">
      <alignment horizontal="left" vertical="top"/>
    </xf>
    <xf numFmtId="0" fontId="8" fillId="0" borderId="19" xfId="0" applyFont="1" applyFill="1" applyBorder="1" applyAlignment="1">
      <alignment horizontal="left" vertical="top" wrapText="1"/>
    </xf>
    <xf numFmtId="0" fontId="8" fillId="0" borderId="18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left" vertical="top" wrapText="1"/>
    </xf>
    <xf numFmtId="0" fontId="11" fillId="29" borderId="15" xfId="224" applyFont="1" applyFill="1" applyBorder="1" applyAlignment="1">
      <alignment horizontal="center" vertical="center" wrapText="1"/>
    </xf>
    <xf numFmtId="0" fontId="10" fillId="29" borderId="7" xfId="224" quotePrefix="1" applyFont="1" applyFill="1" applyBorder="1" applyAlignment="1">
      <alignment horizontal="center" vertical="top" wrapText="1"/>
    </xf>
    <xf numFmtId="0" fontId="8" fillId="28" borderId="12" xfId="0" applyFont="1" applyFill="1" applyBorder="1" applyAlignment="1">
      <alignment horizontal="left" vertical="center" wrapText="1" indent="2"/>
    </xf>
    <xf numFmtId="0" fontId="11" fillId="28" borderId="17" xfId="0" applyFont="1" applyFill="1" applyBorder="1" applyAlignment="1">
      <alignment vertical="center" wrapText="1"/>
    </xf>
    <xf numFmtId="0" fontId="10" fillId="0" borderId="16" xfId="224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1" fillId="0" borderId="0" xfId="236" applyFont="1" applyFill="1" applyAlignment="1">
      <alignment horizontal="left"/>
    </xf>
    <xf numFmtId="0" fontId="10" fillId="29" borderId="7" xfId="224" quotePrefix="1" applyFont="1" applyFill="1" applyBorder="1" applyAlignment="1">
      <alignment horizontal="center" vertical="top"/>
    </xf>
    <xf numFmtId="0" fontId="10" fillId="29" borderId="29" xfId="236" quotePrefix="1" applyFont="1" applyFill="1" applyBorder="1" applyAlignment="1">
      <alignment horizontal="center" vertical="center" wrapText="1"/>
    </xf>
    <xf numFmtId="0" fontId="11" fillId="0" borderId="0" xfId="224" applyFont="1" applyFill="1" applyAlignment="1">
      <alignment horizontal="left"/>
    </xf>
    <xf numFmtId="0" fontId="11" fillId="0" borderId="15" xfId="224" applyFont="1" applyFill="1" applyBorder="1" applyAlignment="1">
      <alignment vertical="center" wrapText="1"/>
    </xf>
    <xf numFmtId="0" fontId="117" fillId="0" borderId="0" xfId="224" applyFont="1" applyFill="1" applyAlignment="1">
      <alignment horizontal="left"/>
    </xf>
    <xf numFmtId="0" fontId="120" fillId="0" borderId="0" xfId="0" applyFont="1" applyFill="1"/>
    <xf numFmtId="0" fontId="117" fillId="0" borderId="0" xfId="0" applyFont="1" applyFill="1" applyAlignment="1">
      <alignment horizontal="left"/>
    </xf>
    <xf numFmtId="0" fontId="120" fillId="29" borderId="31" xfId="0" applyFont="1" applyFill="1" applyBorder="1"/>
    <xf numFmtId="0" fontId="117" fillId="29" borderId="29" xfId="224" applyFont="1" applyFill="1" applyBorder="1" applyAlignment="1">
      <alignment vertical="center" wrapText="1"/>
    </xf>
    <xf numFmtId="0" fontId="120" fillId="29" borderId="32" xfId="0" applyFont="1" applyFill="1" applyBorder="1"/>
    <xf numFmtId="0" fontId="117" fillId="29" borderId="33" xfId="224" applyFont="1" applyFill="1" applyBorder="1" applyAlignment="1">
      <alignment horizontal="center" wrapText="1"/>
    </xf>
    <xf numFmtId="0" fontId="120" fillId="29" borderId="28" xfId="0" applyFont="1" applyFill="1" applyBorder="1"/>
    <xf numFmtId="0" fontId="117" fillId="29" borderId="30" xfId="224" applyFont="1" applyFill="1" applyBorder="1" applyAlignment="1">
      <alignment horizontal="center" wrapText="1"/>
    </xf>
    <xf numFmtId="0" fontId="120" fillId="30" borderId="15" xfId="0" applyFont="1" applyFill="1" applyBorder="1" applyAlignment="1">
      <alignment horizontal="center" wrapText="1"/>
    </xf>
    <xf numFmtId="0" fontId="120" fillId="30" borderId="12" xfId="0" applyFont="1" applyFill="1" applyBorder="1" applyAlignment="1">
      <alignment horizontal="center" wrapText="1"/>
    </xf>
    <xf numFmtId="0" fontId="10" fillId="30" borderId="25" xfId="0" quotePrefix="1" applyFont="1" applyFill="1" applyBorder="1" applyAlignment="1">
      <alignment horizontal="center" vertical="center" wrapText="1"/>
    </xf>
    <xf numFmtId="0" fontId="10" fillId="30" borderId="12" xfId="224" applyFont="1" applyFill="1" applyBorder="1" applyAlignment="1">
      <alignment horizontal="center" wrapText="1"/>
    </xf>
    <xf numFmtId="0" fontId="10" fillId="0" borderId="7" xfId="224" applyFont="1" applyFill="1" applyBorder="1" applyAlignment="1">
      <alignment vertical="center" wrapText="1"/>
    </xf>
    <xf numFmtId="0" fontId="10" fillId="29" borderId="33" xfId="224" applyFont="1" applyFill="1" applyBorder="1" applyAlignment="1">
      <alignment horizontal="left" vertical="top" wrapText="1" indent="1"/>
    </xf>
    <xf numFmtId="0" fontId="120" fillId="0" borderId="12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vertical="center" wrapText="1"/>
    </xf>
    <xf numFmtId="0" fontId="8" fillId="0" borderId="25" xfId="0" applyFont="1" applyFill="1" applyBorder="1" applyAlignment="1">
      <alignment vertical="center" wrapText="1"/>
    </xf>
    <xf numFmtId="0" fontId="5" fillId="28" borderId="16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0" fillId="28" borderId="12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 indent="1"/>
    </xf>
    <xf numFmtId="0" fontId="5" fillId="28" borderId="18" xfId="0" applyFont="1" applyFill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9" fillId="29" borderId="25" xfId="0" applyFont="1" applyFill="1" applyBorder="1" applyAlignment="1">
      <alignment horizontal="center" textRotation="90" wrapText="1"/>
    </xf>
    <xf numFmtId="0" fontId="6" fillId="29" borderId="7" xfId="0" applyFont="1" applyFill="1" applyBorder="1" applyAlignment="1">
      <alignment horizontal="center" vertical="center" wrapText="1"/>
    </xf>
    <xf numFmtId="0" fontId="77" fillId="29" borderId="32" xfId="0" applyFont="1" applyFill="1" applyBorder="1" applyAlignment="1">
      <alignment horizontal="center" vertical="center"/>
    </xf>
    <xf numFmtId="0" fontId="73" fillId="29" borderId="0" xfId="0" applyFont="1" applyFill="1" applyBorder="1" applyAlignment="1">
      <alignment horizontal="left" vertical="center" wrapText="1"/>
    </xf>
    <xf numFmtId="0" fontId="72" fillId="29" borderId="25" xfId="0" applyFont="1" applyFill="1" applyBorder="1" applyAlignment="1">
      <alignment horizontal="center" textRotation="90" wrapText="1"/>
    </xf>
    <xf numFmtId="0" fontId="121" fillId="0" borderId="0" xfId="0" applyFont="1" applyBorder="1" applyAlignment="1">
      <alignment horizontal="right" wrapText="1"/>
    </xf>
    <xf numFmtId="0" fontId="10" fillId="28" borderId="25" xfId="0" applyFont="1" applyFill="1" applyBorder="1" applyAlignment="1">
      <alignment horizontal="center" vertical="center" wrapText="1"/>
    </xf>
    <xf numFmtId="0" fontId="10" fillId="28" borderId="18" xfId="0" applyFont="1" applyFill="1" applyBorder="1" applyAlignment="1">
      <alignment horizontal="center" vertical="center" wrapText="1"/>
    </xf>
    <xf numFmtId="0" fontId="59" fillId="0" borderId="12" xfId="0" applyFont="1" applyFill="1" applyBorder="1" applyAlignment="1">
      <alignment horizontal="left" vertical="center" wrapText="1"/>
    </xf>
    <xf numFmtId="0" fontId="49" fillId="0" borderId="12" xfId="0" applyFont="1" applyFill="1" applyBorder="1" applyAlignment="1">
      <alignment horizontal="center" vertical="center" wrapText="1"/>
    </xf>
    <xf numFmtId="0" fontId="152" fillId="0" borderId="0" xfId="0" applyFont="1" applyProtection="1"/>
    <xf numFmtId="0" fontId="154" fillId="0" borderId="0" xfId="224" applyFont="1" applyAlignment="1">
      <alignment vertical="center"/>
    </xf>
    <xf numFmtId="0" fontId="10" fillId="0" borderId="0" xfId="0" applyFont="1" applyAlignment="1"/>
    <xf numFmtId="165" fontId="72" fillId="33" borderId="7" xfId="163" applyNumberFormat="1" applyFont="1" applyFill="1" applyBorder="1" applyAlignment="1" applyProtection="1">
      <alignment horizontal="right" vertical="center" wrapText="1"/>
      <protection locked="0"/>
    </xf>
    <xf numFmtId="0" fontId="10" fillId="0" borderId="18" xfId="224" applyFont="1" applyFill="1" applyBorder="1" applyAlignment="1">
      <alignment horizontal="left" vertical="top" wrapText="1"/>
    </xf>
    <xf numFmtId="0" fontId="8" fillId="0" borderId="18" xfId="224" applyFont="1" applyFill="1" applyBorder="1" applyAlignment="1">
      <alignment vertical="top" wrapText="1"/>
    </xf>
    <xf numFmtId="0" fontId="10" fillId="0" borderId="22" xfId="224" applyFont="1" applyFill="1" applyBorder="1" applyAlignment="1">
      <alignment vertical="center" wrapText="1"/>
    </xf>
    <xf numFmtId="0" fontId="10" fillId="0" borderId="27" xfId="224" applyFont="1" applyFill="1" applyBorder="1" applyAlignment="1">
      <alignment vertical="center" wrapText="1"/>
    </xf>
    <xf numFmtId="0" fontId="10" fillId="0" borderId="36" xfId="224" applyFont="1" applyFill="1" applyBorder="1" applyAlignment="1">
      <alignment vertical="center" wrapText="1"/>
    </xf>
    <xf numFmtId="0" fontId="10" fillId="0" borderId="32" xfId="224" applyFont="1" applyFill="1" applyBorder="1" applyAlignment="1">
      <alignment horizontal="left" vertical="center" wrapText="1" indent="2"/>
    </xf>
    <xf numFmtId="165" fontId="75" fillId="33" borderId="17" xfId="162" applyNumberFormat="1" applyFont="1" applyFill="1" applyBorder="1" applyAlignment="1" applyProtection="1">
      <alignment vertical="top" wrapText="1"/>
      <protection locked="0"/>
    </xf>
    <xf numFmtId="0" fontId="121" fillId="0" borderId="0" xfId="0" applyFont="1"/>
    <xf numFmtId="165" fontId="10" fillId="33" borderId="19" xfId="162" applyNumberFormat="1" applyFont="1" applyFill="1" applyBorder="1" applyAlignment="1" applyProtection="1">
      <alignment horizontal="left" vertical="center" wrapText="1"/>
      <protection locked="0"/>
    </xf>
    <xf numFmtId="165" fontId="10" fillId="33" borderId="17" xfId="162" applyNumberFormat="1" applyFont="1" applyFill="1" applyBorder="1" applyAlignment="1" applyProtection="1">
      <alignment horizontal="left" vertical="center" wrapText="1"/>
      <protection locked="0"/>
    </xf>
    <xf numFmtId="165" fontId="10" fillId="33" borderId="7" xfId="162" applyNumberFormat="1" applyFont="1" applyFill="1" applyBorder="1" applyAlignment="1" applyProtection="1">
      <alignment vertical="center" wrapText="1"/>
      <protection locked="0"/>
    </xf>
    <xf numFmtId="165" fontId="10" fillId="33" borderId="18" xfId="162" applyNumberFormat="1" applyFont="1" applyFill="1" applyBorder="1" applyAlignment="1" applyProtection="1">
      <alignment vertical="center" wrapText="1"/>
      <protection locked="0"/>
    </xf>
    <xf numFmtId="0" fontId="8" fillId="0" borderId="19" xfId="0" applyFont="1" applyFill="1" applyBorder="1" applyAlignment="1">
      <alignment vertical="center" wrapText="1"/>
    </xf>
    <xf numFmtId="165" fontId="77" fillId="33" borderId="7" xfId="162" applyNumberFormat="1" applyFont="1" applyFill="1" applyBorder="1" applyAlignment="1" applyProtection="1">
      <alignment horizontal="right" vertical="top" wrapText="1"/>
      <protection locked="0"/>
    </xf>
    <xf numFmtId="165" fontId="77" fillId="33" borderId="18" xfId="162" applyNumberFormat="1" applyFont="1" applyFill="1" applyBorder="1" applyAlignment="1" applyProtection="1">
      <alignment horizontal="right" vertical="top" wrapText="1"/>
      <protection locked="0"/>
    </xf>
    <xf numFmtId="0" fontId="121" fillId="0" borderId="0" xfId="0" applyFont="1" applyFill="1" applyAlignment="1">
      <alignment horizontal="right" vertical="top" wrapText="1"/>
    </xf>
    <xf numFmtId="0" fontId="11" fillId="29" borderId="19" xfId="224" applyFont="1" applyFill="1" applyBorder="1" applyAlignment="1">
      <alignment horizontal="center" vertical="center" wrapText="1"/>
    </xf>
    <xf numFmtId="0" fontId="120" fillId="0" borderId="0" xfId="224" applyFont="1" applyFill="1" applyBorder="1" applyAlignment="1">
      <alignment horizontal="left" vertical="top" wrapText="1"/>
    </xf>
    <xf numFmtId="0" fontId="121" fillId="0" borderId="0" xfId="0" applyFont="1"/>
    <xf numFmtId="0" fontId="11" fillId="29" borderId="34" xfId="224" applyFont="1" applyFill="1" applyBorder="1" applyAlignment="1">
      <alignment horizontal="center" vertical="center" wrapText="1"/>
    </xf>
    <xf numFmtId="0" fontId="121" fillId="0" borderId="0" xfId="224" applyFont="1"/>
    <xf numFmtId="0" fontId="121" fillId="0" borderId="0" xfId="221" applyFont="1" applyBorder="1" applyAlignment="1">
      <alignment horizontal="left" vertical="top"/>
    </xf>
    <xf numFmtId="0" fontId="121" fillId="0" borderId="0" xfId="0" applyFont="1" applyFill="1" applyBorder="1" applyAlignment="1">
      <alignment horizontal="right" wrapText="1"/>
    </xf>
    <xf numFmtId="0" fontId="77" fillId="0" borderId="14" xfId="0" applyFont="1" applyBorder="1" applyAlignment="1">
      <alignment horizontal="center" vertical="center"/>
    </xf>
    <xf numFmtId="0" fontId="64" fillId="0" borderId="14" xfId="224" applyFont="1" applyBorder="1"/>
    <xf numFmtId="0" fontId="64" fillId="0" borderId="0" xfId="224" applyFont="1" applyBorder="1"/>
    <xf numFmtId="0" fontId="72" fillId="28" borderId="14" xfId="0" applyFont="1" applyFill="1" applyBorder="1" applyAlignment="1">
      <alignment horizontal="center" vertical="center" wrapText="1"/>
    </xf>
    <xf numFmtId="0" fontId="77" fillId="0" borderId="0" xfId="224" applyFont="1" applyBorder="1"/>
    <xf numFmtId="0" fontId="120" fillId="0" borderId="0" xfId="224" applyFont="1" applyFill="1" applyAlignment="1">
      <alignment horizontal="left" vertical="top"/>
    </xf>
    <xf numFmtId="0" fontId="153" fillId="0" borderId="0" xfId="236" applyFont="1" applyFill="1" applyAlignment="1">
      <alignment horizontal="left" vertical="top" wrapText="1"/>
    </xf>
    <xf numFmtId="0" fontId="119" fillId="0" borderId="0" xfId="0" applyFont="1" applyFill="1" applyAlignment="1">
      <alignment horizontal="left" wrapText="1"/>
    </xf>
    <xf numFmtId="0" fontId="27" fillId="26" borderId="0" xfId="219" applyBorder="1" applyAlignment="1">
      <alignment vertical="top"/>
    </xf>
    <xf numFmtId="0" fontId="7" fillId="0" borderId="31" xfId="0" applyFont="1" applyFill="1" applyBorder="1" applyAlignment="1">
      <alignment horizontal="center" vertical="center" wrapText="1"/>
    </xf>
    <xf numFmtId="0" fontId="4" fillId="0" borderId="32" xfId="249" applyFont="1" applyBorder="1"/>
    <xf numFmtId="0" fontId="129" fillId="4" borderId="32" xfId="176" applyFont="1" applyBorder="1" applyAlignment="1" applyProtection="1">
      <alignment vertical="top"/>
    </xf>
    <xf numFmtId="0" fontId="27" fillId="26" borderId="32" xfId="219" applyBorder="1" applyAlignment="1" applyProtection="1">
      <alignment horizontal="left" vertical="top"/>
      <protection hidden="1"/>
    </xf>
    <xf numFmtId="0" fontId="27" fillId="26" borderId="32" xfId="219" applyBorder="1" applyAlignment="1">
      <alignment vertical="top"/>
    </xf>
    <xf numFmtId="0" fontId="87" fillId="0" borderId="32" xfId="0" applyFont="1" applyBorder="1"/>
    <xf numFmtId="0" fontId="120" fillId="0" borderId="0" xfId="249" applyFont="1" applyFill="1" applyBorder="1" applyAlignment="1">
      <alignment vertical="center" wrapText="1"/>
    </xf>
    <xf numFmtId="0" fontId="116" fillId="0" borderId="0" xfId="249" applyFont="1" applyFill="1" applyBorder="1" applyAlignment="1">
      <alignment vertical="top" wrapText="1"/>
    </xf>
    <xf numFmtId="0" fontId="120" fillId="0" borderId="0" xfId="249" applyFont="1" applyFill="1" applyBorder="1" applyAlignment="1">
      <alignment horizontal="center" vertical="center" wrapText="1"/>
    </xf>
    <xf numFmtId="165" fontId="72" fillId="0" borderId="0" xfId="163" applyNumberFormat="1" applyFont="1" applyFill="1" applyBorder="1" applyAlignment="1" applyProtection="1">
      <alignment horizontal="right" vertical="center" wrapText="1"/>
      <protection locked="0"/>
    </xf>
    <xf numFmtId="0" fontId="10" fillId="42" borderId="31" xfId="224" applyNumberFormat="1" applyFont="1" applyFill="1" applyBorder="1" applyAlignment="1">
      <alignment horizontal="center" vertical="center"/>
    </xf>
    <xf numFmtId="0" fontId="11" fillId="42" borderId="31" xfId="224" applyNumberFormat="1" applyFont="1" applyFill="1" applyBorder="1" applyAlignment="1">
      <alignment horizontal="left" vertical="center"/>
    </xf>
    <xf numFmtId="0" fontId="10" fillId="43" borderId="31" xfId="224" applyNumberFormat="1" applyFont="1" applyFill="1" applyBorder="1" applyAlignment="1">
      <alignment horizontal="center" vertical="center"/>
    </xf>
    <xf numFmtId="0" fontId="10" fillId="43" borderId="31" xfId="224" applyNumberFormat="1" applyFont="1" applyFill="1" applyBorder="1" applyAlignment="1">
      <alignment horizontal="left" vertical="center"/>
    </xf>
    <xf numFmtId="0" fontId="10" fillId="42" borderId="31" xfId="224" applyNumberFormat="1" applyFont="1" applyFill="1" applyBorder="1" applyAlignment="1">
      <alignment horizontal="left" vertical="center"/>
    </xf>
    <xf numFmtId="0" fontId="11" fillId="43" borderId="31" xfId="224" applyNumberFormat="1" applyFont="1" applyFill="1" applyBorder="1" applyAlignment="1">
      <alignment horizontal="left" vertical="center"/>
    </xf>
    <xf numFmtId="0" fontId="10" fillId="42" borderId="31" xfId="224" applyNumberFormat="1" applyFont="1" applyFill="1" applyBorder="1" applyAlignment="1">
      <alignment horizontal="left" vertical="center" wrapText="1"/>
    </xf>
    <xf numFmtId="0" fontId="10" fillId="43" borderId="31" xfId="224" applyNumberFormat="1" applyFont="1" applyFill="1" applyBorder="1" applyAlignment="1">
      <alignment horizontal="left" vertical="center" wrapText="1"/>
    </xf>
    <xf numFmtId="0" fontId="156" fillId="43" borderId="31" xfId="224" applyNumberFormat="1" applyFont="1" applyFill="1" applyBorder="1" applyAlignment="1">
      <alignment horizontal="center" vertical="center"/>
    </xf>
    <xf numFmtId="0" fontId="157" fillId="43" borderId="31" xfId="224" applyNumberFormat="1" applyFont="1" applyFill="1" applyBorder="1" applyAlignment="1">
      <alignment horizontal="left" vertical="center"/>
    </xf>
    <xf numFmtId="0" fontId="156" fillId="42" borderId="31" xfId="224" applyNumberFormat="1" applyFont="1" applyFill="1" applyBorder="1" applyAlignment="1">
      <alignment horizontal="center" vertical="center"/>
    </xf>
    <xf numFmtId="0" fontId="157" fillId="42" borderId="31" xfId="224" applyNumberFormat="1" applyFont="1" applyFill="1" applyBorder="1" applyAlignment="1">
      <alignment horizontal="left" vertical="center"/>
    </xf>
    <xf numFmtId="0" fontId="10" fillId="50" borderId="24" xfId="163" applyNumberFormat="1" applyFont="1" applyFill="1" applyBorder="1" applyAlignment="1" applyProtection="1">
      <alignment horizontal="center" vertical="top" wrapText="1"/>
      <protection locked="0"/>
    </xf>
    <xf numFmtId="0" fontId="47" fillId="0" borderId="14" xfId="224" applyFont="1" applyBorder="1"/>
    <xf numFmtId="0" fontId="84" fillId="0" borderId="0" xfId="221" applyBorder="1"/>
    <xf numFmtId="0" fontId="8" fillId="27" borderId="12" xfId="224" applyFont="1" applyFill="1" applyBorder="1" applyAlignment="1">
      <alignment vertical="center" wrapText="1"/>
    </xf>
    <xf numFmtId="0" fontId="4" fillId="29" borderId="32" xfId="249" applyFont="1" applyFill="1" applyBorder="1" applyAlignment="1">
      <alignment horizontal="center" vertical="center"/>
    </xf>
    <xf numFmtId="0" fontId="58" fillId="29" borderId="33" xfId="249" applyFont="1" applyFill="1" applyBorder="1" applyAlignment="1">
      <alignment horizontal="center" vertical="center" wrapText="1"/>
    </xf>
    <xf numFmtId="0" fontId="11" fillId="0" borderId="12" xfId="249" applyFont="1" applyBorder="1" applyAlignment="1">
      <alignment vertical="center" wrapText="1"/>
    </xf>
    <xf numFmtId="0" fontId="11" fillId="29" borderId="19" xfId="224" applyFont="1" applyFill="1" applyBorder="1" applyAlignment="1">
      <alignment horizontal="center" vertical="center" wrapText="1"/>
    </xf>
    <xf numFmtId="0" fontId="11" fillId="29" borderId="24" xfId="224" applyFont="1" applyFill="1" applyBorder="1" applyAlignment="1">
      <alignment horizontal="center" vertical="center" wrapText="1"/>
    </xf>
    <xf numFmtId="0" fontId="11" fillId="29" borderId="8" xfId="224" applyFont="1" applyFill="1" applyBorder="1" applyAlignment="1">
      <alignment horizontal="center" vertical="center" wrapText="1"/>
    </xf>
    <xf numFmtId="0" fontId="11" fillId="29" borderId="7" xfId="0" applyFont="1" applyFill="1" applyBorder="1" applyAlignment="1">
      <alignment horizontal="center" vertical="center" wrapText="1"/>
    </xf>
    <xf numFmtId="0" fontId="51" fillId="29" borderId="24" xfId="0" applyFont="1" applyFill="1" applyBorder="1" applyAlignment="1">
      <alignment horizontal="center" vertical="center" wrapText="1"/>
    </xf>
    <xf numFmtId="0" fontId="27" fillId="26" borderId="0" xfId="219" quotePrefix="1" applyBorder="1" applyAlignment="1">
      <alignment horizontal="left" vertical="center"/>
    </xf>
    <xf numFmtId="0" fontId="92" fillId="29" borderId="7" xfId="224" applyFont="1" applyFill="1" applyBorder="1" applyAlignment="1" applyProtection="1">
      <alignment vertical="center" wrapText="1"/>
    </xf>
    <xf numFmtId="0" fontId="73" fillId="43" borderId="31" xfId="224" applyNumberFormat="1" applyFont="1" applyFill="1" applyBorder="1" applyAlignment="1">
      <alignment horizontal="left" vertical="center"/>
    </xf>
    <xf numFmtId="0" fontId="10" fillId="29" borderId="18" xfId="0" quotePrefix="1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left" vertical="center" wrapText="1" indent="1"/>
    </xf>
    <xf numFmtId="0" fontId="8" fillId="0" borderId="12" xfId="0" applyFont="1" applyFill="1" applyBorder="1" applyAlignment="1">
      <alignment horizontal="left" vertical="center" wrapText="1" indent="2"/>
    </xf>
    <xf numFmtId="1" fontId="10" fillId="29" borderId="12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 indent="4"/>
    </xf>
    <xf numFmtId="0" fontId="10" fillId="0" borderId="12" xfId="0" applyFont="1" applyFill="1" applyBorder="1" applyAlignment="1" applyProtection="1">
      <alignment horizontal="left" vertical="center" wrapText="1" indent="1"/>
    </xf>
    <xf numFmtId="0" fontId="10" fillId="28" borderId="12" xfId="0" applyFont="1" applyFill="1" applyBorder="1" applyAlignment="1" applyProtection="1">
      <alignment horizontal="left" vertical="center" wrapText="1" indent="2"/>
    </xf>
    <xf numFmtId="0" fontId="11" fillId="0" borderId="12" xfId="0" applyFont="1" applyFill="1" applyBorder="1" applyAlignment="1">
      <alignment horizontal="justify" vertical="center" wrapText="1"/>
    </xf>
    <xf numFmtId="0" fontId="11" fillId="0" borderId="12" xfId="0" applyFont="1" applyFill="1" applyBorder="1" applyAlignment="1">
      <alignment horizontal="left" vertical="top" wrapText="1"/>
    </xf>
    <xf numFmtId="0" fontId="11" fillId="28" borderId="12" xfId="0" applyFont="1" applyFill="1" applyBorder="1" applyAlignment="1">
      <alignment horizontal="justify" vertical="center" wrapText="1"/>
    </xf>
    <xf numFmtId="0" fontId="8" fillId="0" borderId="12" xfId="224" applyFont="1" applyFill="1" applyBorder="1" applyAlignment="1">
      <alignment horizontal="left" vertical="center" wrapText="1" indent="3"/>
    </xf>
    <xf numFmtId="0" fontId="10" fillId="0" borderId="19" xfId="0" applyFont="1" applyFill="1" applyBorder="1" applyAlignment="1">
      <alignment horizontal="center" vertical="center" wrapText="1"/>
    </xf>
    <xf numFmtId="0" fontId="11" fillId="0" borderId="19" xfId="224" applyFont="1" applyFill="1" applyBorder="1" applyAlignment="1">
      <alignment vertical="center" wrapText="1"/>
    </xf>
    <xf numFmtId="0" fontId="10" fillId="0" borderId="7" xfId="224" applyFont="1" applyFill="1" applyBorder="1" applyAlignment="1">
      <alignment horizontal="center" vertical="center" wrapText="1"/>
    </xf>
    <xf numFmtId="0" fontId="10" fillId="29" borderId="7" xfId="224" applyFont="1" applyFill="1" applyBorder="1" applyAlignment="1">
      <alignment horizontal="center" vertical="center" wrapText="1"/>
    </xf>
    <xf numFmtId="0" fontId="8" fillId="29" borderId="21" xfId="236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12" xfId="237" applyFont="1" applyFill="1" applyBorder="1" applyAlignment="1">
      <alignment horizontal="left" vertical="top" wrapText="1"/>
    </xf>
    <xf numFmtId="0" fontId="11" fillId="0" borderId="15" xfId="237" applyFont="1" applyFill="1" applyBorder="1" applyAlignment="1">
      <alignment vertical="center" wrapText="1"/>
    </xf>
    <xf numFmtId="0" fontId="10" fillId="0" borderId="12" xfId="237" applyFont="1" applyFill="1" applyBorder="1" applyAlignment="1">
      <alignment vertical="top" wrapText="1"/>
    </xf>
    <xf numFmtId="0" fontId="11" fillId="0" borderId="12" xfId="237" applyFont="1" applyFill="1" applyBorder="1" applyAlignment="1">
      <alignment vertical="center" wrapText="1"/>
    </xf>
    <xf numFmtId="0" fontId="10" fillId="0" borderId="17" xfId="237" applyFont="1" applyFill="1" applyBorder="1" applyAlignment="1">
      <alignment vertical="top" wrapText="1"/>
    </xf>
    <xf numFmtId="0" fontId="10" fillId="29" borderId="7" xfId="237" quotePrefix="1" applyFont="1" applyFill="1" applyBorder="1" applyAlignment="1">
      <alignment horizontal="center"/>
    </xf>
    <xf numFmtId="0" fontId="11" fillId="0" borderId="7" xfId="224" applyFont="1" applyFill="1" applyBorder="1" applyAlignment="1">
      <alignment horizontal="left" wrapText="1"/>
    </xf>
    <xf numFmtId="0" fontId="51" fillId="30" borderId="7" xfId="224" applyFont="1" applyFill="1" applyBorder="1" applyAlignment="1">
      <alignment horizontal="left" wrapText="1"/>
    </xf>
    <xf numFmtId="0" fontId="11" fillId="0" borderId="20" xfId="224" applyFont="1" applyFill="1" applyBorder="1" applyAlignment="1">
      <alignment horizontal="left" vertical="top" wrapText="1"/>
    </xf>
    <xf numFmtId="0" fontId="10" fillId="0" borderId="26" xfId="237" applyFont="1" applyFill="1" applyBorder="1" applyAlignment="1">
      <alignment horizontal="justify" vertical="top" wrapText="1"/>
    </xf>
    <xf numFmtId="0" fontId="10" fillId="0" borderId="20" xfId="237" applyFont="1" applyFill="1" applyBorder="1" applyAlignment="1">
      <alignment horizontal="justify" vertical="top" wrapText="1"/>
    </xf>
    <xf numFmtId="0" fontId="10" fillId="0" borderId="42" xfId="237" applyFont="1" applyFill="1" applyBorder="1" applyAlignment="1">
      <alignment horizontal="justify" vertical="top" wrapText="1"/>
    </xf>
    <xf numFmtId="0" fontId="11" fillId="0" borderId="21" xfId="224" applyFont="1" applyFill="1" applyBorder="1" applyAlignment="1">
      <alignment horizontal="left" wrapText="1"/>
    </xf>
    <xf numFmtId="0" fontId="11" fillId="0" borderId="21" xfId="224" applyFont="1" applyFill="1" applyBorder="1" applyAlignment="1">
      <alignment horizontal="left" vertical="top" wrapText="1"/>
    </xf>
    <xf numFmtId="0" fontId="10" fillId="0" borderId="43" xfId="237" applyFont="1" applyFill="1" applyBorder="1" applyAlignment="1">
      <alignment horizontal="justify" vertical="top" wrapText="1"/>
    </xf>
    <xf numFmtId="0" fontId="8" fillId="0" borderId="17" xfId="237" applyFont="1" applyFill="1" applyBorder="1" applyAlignment="1">
      <alignment horizontal="justify" vertical="center" wrapText="1"/>
    </xf>
    <xf numFmtId="0" fontId="11" fillId="29" borderId="0" xfId="224" applyFont="1" applyFill="1" applyBorder="1" applyAlignment="1">
      <alignment horizontal="center" vertical="center" wrapText="1"/>
    </xf>
    <xf numFmtId="0" fontId="11" fillId="29" borderId="7" xfId="224" applyFont="1" applyFill="1" applyBorder="1" applyAlignment="1">
      <alignment horizontal="center" vertical="center" textRotation="90" wrapText="1"/>
    </xf>
    <xf numFmtId="0" fontId="10" fillId="29" borderId="25" xfId="224" applyFont="1" applyFill="1" applyBorder="1" applyAlignment="1">
      <alignment horizontal="center" vertical="center" wrapText="1"/>
    </xf>
    <xf numFmtId="0" fontId="8" fillId="0" borderId="27" xfId="224" applyFont="1" applyFill="1" applyBorder="1" applyAlignment="1">
      <alignment horizontal="left" vertical="center" wrapText="1" indent="2"/>
    </xf>
    <xf numFmtId="0" fontId="84" fillId="0" borderId="7" xfId="0" applyFont="1" applyFill="1" applyBorder="1"/>
    <xf numFmtId="0" fontId="11" fillId="0" borderId="8" xfId="224" applyFont="1" applyFill="1" applyBorder="1" applyAlignment="1">
      <alignment horizontal="left" vertical="center" wrapText="1"/>
    </xf>
    <xf numFmtId="165" fontId="75" fillId="31" borderId="16" xfId="162" applyNumberFormat="1" applyFont="1" applyFill="1" applyBorder="1" applyAlignment="1">
      <alignment vertical="top" wrapText="1"/>
    </xf>
    <xf numFmtId="0" fontId="10" fillId="0" borderId="17" xfId="224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center" wrapText="1"/>
    </xf>
    <xf numFmtId="0" fontId="11" fillId="29" borderId="12" xfId="0" applyFont="1" applyFill="1" applyBorder="1" applyAlignment="1">
      <alignment horizontal="center" vertical="center" wrapText="1"/>
    </xf>
    <xf numFmtId="0" fontId="11" fillId="28" borderId="12" xfId="0" applyFont="1" applyFill="1" applyBorder="1" applyAlignment="1">
      <alignment horizontal="left" vertical="center" wrapText="1"/>
    </xf>
    <xf numFmtId="0" fontId="10" fillId="29" borderId="16" xfId="0" quotePrefix="1" applyFont="1" applyFill="1" applyBorder="1" applyAlignment="1">
      <alignment horizontal="center" vertical="center" wrapText="1"/>
    </xf>
    <xf numFmtId="0" fontId="10" fillId="29" borderId="17" xfId="0" quotePrefix="1" applyFont="1" applyFill="1" applyBorder="1" applyAlignment="1">
      <alignment horizontal="center" vertical="center" wrapText="1"/>
    </xf>
    <xf numFmtId="0" fontId="9" fillId="0" borderId="7" xfId="224" applyFont="1" applyFill="1" applyBorder="1" applyAlignment="1">
      <alignment vertical="center" wrapText="1"/>
    </xf>
    <xf numFmtId="165" fontId="5" fillId="31" borderId="7" xfId="162" applyNumberFormat="1" applyFont="1" applyFill="1" applyBorder="1" applyAlignment="1">
      <alignment horizontal="right" vertical="top" wrapText="1"/>
    </xf>
    <xf numFmtId="0" fontId="11" fillId="0" borderId="12" xfId="0" applyFont="1" applyFill="1" applyBorder="1" applyAlignment="1">
      <alignment horizontal="justify" vertical="top" wrapText="1"/>
    </xf>
    <xf numFmtId="0" fontId="11" fillId="28" borderId="12" xfId="0" applyFont="1" applyFill="1" applyBorder="1" applyAlignment="1">
      <alignment horizontal="justify" vertical="top" wrapText="1"/>
    </xf>
    <xf numFmtId="0" fontId="11" fillId="0" borderId="7" xfId="0" applyFont="1" applyFill="1" applyBorder="1" applyAlignment="1">
      <alignment horizontal="justify" vertical="center" wrapText="1"/>
    </xf>
    <xf numFmtId="0" fontId="78" fillId="29" borderId="7" xfId="224" applyFont="1" applyFill="1" applyBorder="1" applyAlignment="1">
      <alignment horizontal="center" vertical="center" wrapText="1"/>
    </xf>
    <xf numFmtId="0" fontId="78" fillId="29" borderId="7" xfId="255" applyFont="1" applyFill="1" applyBorder="1" applyAlignment="1">
      <alignment horizontal="center" vertical="center" wrapText="1"/>
    </xf>
    <xf numFmtId="0" fontId="11" fillId="0" borderId="0" xfId="236" applyFont="1" applyAlignment="1">
      <alignment horizontal="left"/>
    </xf>
    <xf numFmtId="0" fontId="77" fillId="29" borderId="12" xfId="224" applyFont="1" applyFill="1" applyBorder="1" applyAlignment="1">
      <alignment horizontal="center" vertical="center" wrapText="1"/>
    </xf>
    <xf numFmtId="0" fontId="149" fillId="29" borderId="7" xfId="249" quotePrefix="1" applyFont="1" applyFill="1" applyBorder="1" applyAlignment="1">
      <alignment horizontal="center" vertical="center" wrapText="1"/>
    </xf>
    <xf numFmtId="0" fontId="77" fillId="29" borderId="18" xfId="224" applyFont="1" applyFill="1" applyBorder="1" applyAlignment="1">
      <alignment horizontal="center" vertical="center" wrapText="1"/>
    </xf>
    <xf numFmtId="0" fontId="75" fillId="0" borderId="27" xfId="224" applyFont="1" applyFill="1" applyBorder="1" applyAlignment="1">
      <alignment vertical="center" wrapText="1"/>
    </xf>
    <xf numFmtId="0" fontId="78" fillId="0" borderId="18" xfId="224" applyFont="1" applyFill="1" applyBorder="1" applyAlignment="1">
      <alignment vertical="center" wrapText="1"/>
    </xf>
    <xf numFmtId="0" fontId="77" fillId="29" borderId="36" xfId="224" applyFont="1" applyFill="1" applyBorder="1" applyAlignment="1">
      <alignment horizontal="center" vertical="center" wrapText="1"/>
    </xf>
    <xf numFmtId="0" fontId="75" fillId="0" borderId="36" xfId="224" applyFont="1" applyFill="1" applyBorder="1" applyAlignment="1">
      <alignment vertical="center" wrapText="1"/>
    </xf>
    <xf numFmtId="0" fontId="78" fillId="0" borderId="17" xfId="224" applyFont="1" applyFill="1" applyBorder="1" applyAlignment="1">
      <alignment vertical="center" wrapText="1"/>
    </xf>
    <xf numFmtId="0" fontId="78" fillId="0" borderId="0" xfId="224" applyFont="1" applyFill="1" applyBorder="1" applyAlignment="1">
      <alignment horizontal="right" wrapText="1"/>
    </xf>
    <xf numFmtId="0" fontId="121" fillId="0" borderId="0" xfId="0" applyFont="1" applyFill="1" applyAlignment="1">
      <alignment wrapText="1"/>
    </xf>
    <xf numFmtId="0" fontId="158" fillId="0" borderId="0" xfId="0" applyFont="1" applyProtection="1"/>
    <xf numFmtId="0" fontId="155" fillId="0" borderId="0" xfId="0" applyFont="1" applyAlignment="1" applyProtection="1"/>
    <xf numFmtId="0" fontId="159" fillId="0" borderId="0" xfId="0" applyFont="1" applyAlignment="1" applyProtection="1"/>
    <xf numFmtId="0" fontId="10" fillId="0" borderId="12" xfId="249" applyFont="1" applyFill="1" applyBorder="1" applyAlignment="1">
      <alignment horizontal="left" vertical="top" wrapText="1" indent="1"/>
    </xf>
    <xf numFmtId="0" fontId="10" fillId="29" borderId="7" xfId="249" applyFont="1" applyFill="1" applyBorder="1" applyAlignment="1">
      <alignment horizontal="center" vertical="center" wrapText="1"/>
    </xf>
    <xf numFmtId="0" fontId="10" fillId="0" borderId="7" xfId="249" applyFont="1" applyFill="1" applyBorder="1" applyAlignment="1">
      <alignment vertical="center" wrapText="1"/>
    </xf>
    <xf numFmtId="0" fontId="10" fillId="45" borderId="44" xfId="0" applyNumberFormat="1" applyFont="1" applyFill="1" applyBorder="1" applyAlignment="1" applyProtection="1"/>
    <xf numFmtId="0" fontId="10" fillId="46" borderId="44" xfId="0" applyNumberFormat="1" applyFont="1" applyFill="1" applyBorder="1" applyAlignment="1" applyProtection="1"/>
    <xf numFmtId="0" fontId="10" fillId="47" borderId="44" xfId="0" applyNumberFormat="1" applyFont="1" applyFill="1" applyBorder="1" applyAlignment="1" applyProtection="1"/>
    <xf numFmtId="0" fontId="10" fillId="34" borderId="12" xfId="162" applyNumberFormat="1" applyFont="1" applyFill="1" applyBorder="1" applyAlignment="1" applyProtection="1">
      <alignment horizontal="left" vertical="top" wrapText="1"/>
      <protection locked="0"/>
    </xf>
    <xf numFmtId="0" fontId="10" fillId="48" borderId="44" xfId="0" applyNumberFormat="1" applyFont="1" applyFill="1" applyBorder="1" applyAlignment="1" applyProtection="1">
      <alignment horizontal="left" vertical="center" wrapText="1"/>
    </xf>
    <xf numFmtId="0" fontId="10" fillId="49" borderId="44" xfId="0" applyNumberFormat="1" applyFont="1" applyFill="1" applyBorder="1" applyAlignment="1" applyProtection="1"/>
    <xf numFmtId="0" fontId="10" fillId="44" borderId="44" xfId="266" applyNumberFormat="1" applyFont="1" applyFill="1" applyBorder="1" applyAlignment="1" applyProtection="1">
      <alignment horizontal="left" vertical="top" wrapText="1"/>
    </xf>
    <xf numFmtId="0" fontId="10" fillId="51" borderId="44" xfId="0" applyNumberFormat="1" applyFont="1" applyFill="1" applyBorder="1" applyAlignment="1" applyProtection="1"/>
    <xf numFmtId="0" fontId="75" fillId="29" borderId="12" xfId="0" quotePrefix="1" applyFont="1" applyFill="1" applyBorder="1" applyAlignment="1">
      <alignment horizontal="center" vertical="center" wrapText="1"/>
    </xf>
    <xf numFmtId="165" fontId="73" fillId="31" borderId="18" xfId="162" applyNumberFormat="1" applyFont="1" applyFill="1" applyBorder="1" applyAlignment="1" applyProtection="1">
      <alignment horizontal="left" vertical="center" wrapText="1"/>
    </xf>
    <xf numFmtId="3" fontId="10" fillId="35" borderId="15" xfId="163" applyNumberFormat="1" applyFont="1" applyFill="1" applyBorder="1" applyAlignment="1" applyProtection="1">
      <alignment horizontal="right" vertical="center" wrapText="1"/>
      <protection locked="0"/>
    </xf>
    <xf numFmtId="3" fontId="10" fillId="35" borderId="17" xfId="163" applyNumberFormat="1" applyFont="1" applyFill="1" applyBorder="1" applyAlignment="1" applyProtection="1">
      <alignment horizontal="right" vertical="center" wrapText="1"/>
      <protection locked="0"/>
    </xf>
    <xf numFmtId="3" fontId="10" fillId="35" borderId="24" xfId="163" applyNumberFormat="1" applyFont="1" applyFill="1" applyBorder="1" applyAlignment="1" applyProtection="1">
      <alignment horizontal="right" vertical="center" wrapText="1"/>
      <protection locked="0"/>
    </xf>
    <xf numFmtId="165" fontId="73" fillId="31" borderId="25" xfId="162" applyNumberFormat="1" applyFont="1" applyFill="1" applyBorder="1" applyAlignment="1" applyProtection="1">
      <alignment horizontal="left" vertical="center" wrapText="1"/>
    </xf>
    <xf numFmtId="0" fontId="77" fillId="29" borderId="19" xfId="224" quotePrefix="1" applyFont="1" applyFill="1" applyBorder="1" applyAlignment="1">
      <alignment horizontal="center" vertical="center" wrapText="1"/>
    </xf>
    <xf numFmtId="165" fontId="75" fillId="31" borderId="24" xfId="162" applyNumberFormat="1" applyFont="1" applyFill="1" applyBorder="1" applyProtection="1"/>
    <xf numFmtId="0" fontId="121" fillId="0" borderId="0" xfId="0" applyFont="1" applyBorder="1" applyAlignment="1">
      <alignment wrapText="1"/>
    </xf>
    <xf numFmtId="165" fontId="77" fillId="33" borderId="7" xfId="162" applyNumberFormat="1" applyFont="1" applyFill="1" applyBorder="1" applyAlignment="1" applyProtection="1">
      <alignment horizontal="right" wrapText="1"/>
      <protection locked="0"/>
    </xf>
    <xf numFmtId="165" fontId="77" fillId="33" borderId="18" xfId="162" applyNumberFormat="1" applyFont="1" applyFill="1" applyBorder="1" applyAlignment="1" applyProtection="1">
      <alignment horizontal="right" wrapText="1"/>
      <protection locked="0"/>
    </xf>
    <xf numFmtId="165" fontId="77" fillId="33" borderId="17" xfId="162" applyNumberFormat="1" applyFont="1" applyFill="1" applyBorder="1" applyAlignment="1" applyProtection="1">
      <alignment horizontal="right" wrapText="1"/>
      <protection locked="0"/>
    </xf>
    <xf numFmtId="165" fontId="77" fillId="33" borderId="25" xfId="162" applyNumberFormat="1" applyFont="1" applyFill="1" applyBorder="1" applyAlignment="1" applyProtection="1">
      <alignment horizontal="right" wrapText="1"/>
      <protection locked="0"/>
    </xf>
    <xf numFmtId="165" fontId="77" fillId="33" borderId="15" xfId="162" applyNumberFormat="1" applyFont="1" applyFill="1" applyBorder="1" applyAlignment="1" applyProtection="1">
      <alignment horizontal="right" wrapText="1"/>
      <protection locked="0"/>
    </xf>
    <xf numFmtId="165" fontId="75" fillId="31" borderId="12" xfId="162" applyNumberFormat="1" applyFont="1" applyFill="1" applyBorder="1" applyAlignment="1">
      <alignment horizontal="right" wrapText="1"/>
    </xf>
    <xf numFmtId="165" fontId="75" fillId="31" borderId="16" xfId="162" applyNumberFormat="1" applyFont="1" applyFill="1" applyBorder="1" applyAlignment="1">
      <alignment horizontal="right" wrapText="1"/>
    </xf>
    <xf numFmtId="0" fontId="10" fillId="30" borderId="34" xfId="224" applyFont="1" applyFill="1" applyBorder="1" applyAlignment="1">
      <alignment horizontal="right" wrapText="1"/>
    </xf>
    <xf numFmtId="0" fontId="10" fillId="30" borderId="21" xfId="224" applyFont="1" applyFill="1" applyBorder="1" applyAlignment="1">
      <alignment horizontal="right" wrapText="1"/>
    </xf>
    <xf numFmtId="165" fontId="122" fillId="31" borderId="7" xfId="162" applyNumberFormat="1" applyFont="1" applyFill="1" applyBorder="1" applyAlignment="1">
      <alignment horizontal="right" wrapText="1"/>
    </xf>
    <xf numFmtId="0" fontId="47" fillId="0" borderId="0" xfId="0" applyFont="1" applyAlignment="1">
      <alignment wrapText="1"/>
    </xf>
    <xf numFmtId="0" fontId="47" fillId="0" borderId="0" xfId="0" applyFont="1" applyBorder="1" applyAlignment="1">
      <alignment wrapText="1"/>
    </xf>
    <xf numFmtId="0" fontId="77" fillId="0" borderId="0" xfId="0" applyFont="1" applyBorder="1" applyAlignment="1">
      <alignment wrapText="1"/>
    </xf>
    <xf numFmtId="0" fontId="121" fillId="0" borderId="0" xfId="0" applyFont="1" applyBorder="1" applyAlignment="1">
      <alignment horizontal="right"/>
    </xf>
    <xf numFmtId="0" fontId="47" fillId="0" borderId="0" xfId="0" applyFont="1" applyAlignment="1">
      <alignment horizontal="right"/>
    </xf>
    <xf numFmtId="0" fontId="77" fillId="0" borderId="0" xfId="0" applyFont="1" applyBorder="1" applyAlignment="1">
      <alignment horizontal="right"/>
    </xf>
    <xf numFmtId="0" fontId="27" fillId="26" borderId="0" xfId="219" applyBorder="1" applyAlignment="1">
      <alignment horizontal="left" vertical="center" wrapText="1"/>
    </xf>
    <xf numFmtId="0" fontId="121" fillId="0" borderId="0" xfId="0" applyFont="1" applyAlignment="1">
      <alignment horizontal="right" wrapText="1"/>
    </xf>
    <xf numFmtId="0" fontId="120" fillId="0" borderId="0" xfId="224" applyFont="1" applyFill="1" applyAlignment="1">
      <alignment horizontal="right" wrapText="1"/>
    </xf>
    <xf numFmtId="165" fontId="72" fillId="33" borderId="12" xfId="162" applyNumberFormat="1" applyFont="1" applyFill="1" applyBorder="1" applyAlignment="1" applyProtection="1">
      <alignment horizontal="right" wrapText="1"/>
      <protection locked="0"/>
    </xf>
    <xf numFmtId="0" fontId="11" fillId="30" borderId="16" xfId="224" applyFont="1" applyFill="1" applyBorder="1" applyAlignment="1">
      <alignment horizontal="right" wrapText="1"/>
    </xf>
    <xf numFmtId="0" fontId="10" fillId="30" borderId="12" xfId="224" applyFont="1" applyFill="1" applyBorder="1" applyAlignment="1">
      <alignment horizontal="right" wrapText="1"/>
    </xf>
    <xf numFmtId="0" fontId="8" fillId="30" borderId="12" xfId="224" applyFont="1" applyFill="1" applyBorder="1" applyAlignment="1">
      <alignment horizontal="right" wrapText="1"/>
    </xf>
    <xf numFmtId="0" fontId="10" fillId="30" borderId="17" xfId="224" applyFont="1" applyFill="1" applyBorder="1" applyAlignment="1">
      <alignment horizontal="right" wrapText="1"/>
    </xf>
    <xf numFmtId="0" fontId="119" fillId="0" borderId="0" xfId="224" applyFont="1" applyAlignment="1">
      <alignment horizontal="left" wrapText="1"/>
    </xf>
    <xf numFmtId="0" fontId="121" fillId="0" borderId="0" xfId="0" applyFont="1"/>
    <xf numFmtId="0" fontId="11" fillId="29" borderId="34" xfId="224" applyFont="1" applyFill="1" applyBorder="1" applyAlignment="1">
      <alignment horizontal="center" vertical="center" wrapText="1"/>
    </xf>
    <xf numFmtId="0" fontId="121" fillId="0" borderId="0" xfId="224" applyFont="1"/>
    <xf numFmtId="165" fontId="10" fillId="33" borderId="15" xfId="162" applyNumberFormat="1" applyFont="1" applyFill="1" applyBorder="1" applyAlignment="1" applyProtection="1">
      <alignment vertical="top" wrapText="1"/>
      <protection locked="0"/>
    </xf>
    <xf numFmtId="165" fontId="10" fillId="30" borderId="16" xfId="162" applyNumberFormat="1" applyFont="1" applyFill="1" applyBorder="1" applyAlignment="1">
      <alignment horizontal="left" wrapText="1"/>
    </xf>
    <xf numFmtId="165" fontId="10" fillId="30" borderId="16" xfId="162" applyNumberFormat="1" applyFont="1" applyFill="1" applyBorder="1" applyAlignment="1">
      <alignment horizontal="left" vertical="center" wrapText="1"/>
    </xf>
    <xf numFmtId="165" fontId="10" fillId="30" borderId="24" xfId="162" applyNumberFormat="1" applyFont="1" applyFill="1" applyBorder="1" applyAlignment="1">
      <alignment vertical="top" wrapText="1"/>
    </xf>
    <xf numFmtId="165" fontId="10" fillId="33" borderId="24" xfId="162" applyNumberFormat="1" applyFont="1" applyFill="1" applyBorder="1" applyAlignment="1" applyProtection="1">
      <alignment vertical="top" wrapText="1"/>
      <protection locked="0"/>
    </xf>
    <xf numFmtId="165" fontId="10" fillId="30" borderId="12" xfId="162" applyNumberFormat="1" applyFont="1" applyFill="1" applyBorder="1" applyAlignment="1">
      <alignment horizontal="left" vertical="center" wrapText="1"/>
    </xf>
    <xf numFmtId="165" fontId="10" fillId="33" borderId="22" xfId="162" applyNumberFormat="1" applyFont="1" applyFill="1" applyBorder="1" applyAlignment="1" applyProtection="1">
      <alignment horizontal="left" vertical="center" wrapText="1"/>
      <protection locked="0"/>
    </xf>
    <xf numFmtId="0" fontId="47" fillId="0" borderId="32" xfId="236" applyFont="1" applyBorder="1"/>
    <xf numFmtId="165" fontId="10" fillId="33" borderId="20" xfId="162" applyNumberFormat="1" applyFont="1" applyFill="1" applyBorder="1" applyAlignment="1" applyProtection="1">
      <alignment horizontal="left" vertical="center" wrapText="1"/>
      <protection locked="0"/>
    </xf>
    <xf numFmtId="165" fontId="77" fillId="33" borderId="12" xfId="162" applyNumberFormat="1" applyFont="1" applyFill="1" applyBorder="1" applyAlignment="1" applyProtection="1">
      <alignment horizontal="right" vertical="center" wrapText="1"/>
      <protection locked="0"/>
    </xf>
    <xf numFmtId="0" fontId="121" fillId="28" borderId="32" xfId="0" applyFont="1" applyFill="1" applyBorder="1" applyAlignment="1">
      <alignment horizontal="right" wrapText="1"/>
    </xf>
    <xf numFmtId="0" fontId="121" fillId="0" borderId="32" xfId="0" applyFont="1" applyFill="1" applyBorder="1" applyAlignment="1">
      <alignment horizontal="right" wrapText="1"/>
    </xf>
    <xf numFmtId="0" fontId="77" fillId="0" borderId="0" xfId="0" applyFont="1" applyFill="1"/>
    <xf numFmtId="0" fontId="10" fillId="0" borderId="0" xfId="0" applyFont="1" applyFill="1"/>
    <xf numFmtId="0" fontId="11" fillId="0" borderId="0" xfId="0" applyFont="1" applyFill="1" applyAlignment="1">
      <alignment horizontal="right" vertical="top"/>
    </xf>
    <xf numFmtId="0" fontId="124" fillId="0" borderId="0" xfId="0" applyFont="1" applyFill="1" applyAlignment="1">
      <alignment wrapText="1"/>
    </xf>
    <xf numFmtId="0" fontId="124" fillId="0" borderId="0" xfId="0" applyFont="1" applyFill="1" applyAlignment="1">
      <alignment horizontal="left" wrapText="1"/>
    </xf>
    <xf numFmtId="0" fontId="47" fillId="0" borderId="0" xfId="0" applyFont="1" applyFill="1"/>
    <xf numFmtId="0" fontId="47" fillId="0" borderId="0" xfId="0" applyFont="1" applyFill="1" applyAlignment="1">
      <alignment wrapText="1"/>
    </xf>
    <xf numFmtId="0" fontId="121" fillId="0" borderId="0" xfId="0" applyFont="1" applyFill="1" applyAlignment="1">
      <alignment horizontal="left" vertical="top" wrapText="1"/>
    </xf>
    <xf numFmtId="0" fontId="121" fillId="0" borderId="0" xfId="0" applyFont="1" applyFill="1" applyAlignment="1">
      <alignment horizontal="left" vertical="top"/>
    </xf>
    <xf numFmtId="0" fontId="75" fillId="43" borderId="31" xfId="224" applyNumberFormat="1" applyFont="1" applyFill="1" applyBorder="1" applyAlignment="1">
      <alignment horizontal="left" vertical="center" wrapText="1"/>
    </xf>
    <xf numFmtId="0" fontId="75" fillId="42" borderId="31" xfId="224" applyNumberFormat="1" applyFont="1" applyFill="1" applyBorder="1" applyAlignment="1">
      <alignment horizontal="left" vertical="center" wrapText="1"/>
    </xf>
    <xf numFmtId="0" fontId="124" fillId="0" borderId="0" xfId="0" applyFont="1" applyFill="1" applyAlignment="1">
      <alignment horizontal="right" wrapText="1"/>
    </xf>
    <xf numFmtId="0" fontId="120" fillId="0" borderId="0" xfId="224" applyFont="1" applyFill="1" applyBorder="1" applyAlignment="1">
      <alignment horizontal="left" vertical="center" wrapText="1"/>
    </xf>
    <xf numFmtId="0" fontId="120" fillId="0" borderId="0" xfId="224" applyFont="1" applyFill="1" applyBorder="1" applyAlignment="1">
      <alignment horizontal="left" vertical="center"/>
    </xf>
    <xf numFmtId="0" fontId="119" fillId="0" borderId="0" xfId="224" applyFont="1" applyFill="1" applyAlignment="1">
      <alignment wrapText="1"/>
    </xf>
    <xf numFmtId="0" fontId="121" fillId="0" borderId="0" xfId="221" applyFont="1" applyFill="1" applyAlignment="1"/>
    <xf numFmtId="0" fontId="156" fillId="42" borderId="31" xfId="224" applyNumberFormat="1" applyFont="1" applyFill="1" applyBorder="1" applyAlignment="1">
      <alignment horizontal="left" vertical="center"/>
    </xf>
    <xf numFmtId="0" fontId="156" fillId="43" borderId="31" xfId="224" applyNumberFormat="1" applyFont="1" applyFill="1" applyBorder="1" applyAlignment="1">
      <alignment horizontal="left" vertical="center"/>
    </xf>
    <xf numFmtId="0" fontId="156" fillId="43" borderId="8" xfId="224" applyNumberFormat="1" applyFont="1" applyFill="1" applyBorder="1" applyAlignment="1">
      <alignment horizontal="center" vertical="center"/>
    </xf>
    <xf numFmtId="0" fontId="157" fillId="43" borderId="8" xfId="224" applyNumberFormat="1" applyFont="1" applyFill="1" applyBorder="1" applyAlignment="1">
      <alignment horizontal="left" vertical="center"/>
    </xf>
    <xf numFmtId="165" fontId="10" fillId="52" borderId="12" xfId="163" applyNumberFormat="1" applyFont="1" applyFill="1" applyBorder="1" applyAlignment="1" applyProtection="1">
      <alignment horizontal="right" vertical="top" wrapText="1"/>
    </xf>
    <xf numFmtId="165" fontId="10" fillId="52" borderId="12" xfId="163" applyNumberFormat="1" applyFont="1" applyFill="1" applyBorder="1" applyAlignment="1" applyProtection="1">
      <alignment horizontal="right" vertical="top"/>
    </xf>
    <xf numFmtId="165" fontId="10" fillId="52" borderId="17" xfId="163" applyNumberFormat="1" applyFont="1" applyFill="1" applyBorder="1" applyAlignment="1" applyProtection="1">
      <alignment horizontal="right" vertical="top" wrapText="1"/>
    </xf>
    <xf numFmtId="165" fontId="75" fillId="52" borderId="15" xfId="163" applyNumberFormat="1" applyFont="1" applyFill="1" applyBorder="1" applyAlignment="1" applyProtection="1">
      <alignment horizontal="center" vertical="top" wrapText="1"/>
    </xf>
    <xf numFmtId="165" fontId="10" fillId="52" borderId="12" xfId="163" applyNumberFormat="1" applyFont="1" applyFill="1" applyBorder="1" applyAlignment="1" applyProtection="1">
      <alignment horizontal="center" vertical="top" wrapText="1"/>
    </xf>
    <xf numFmtId="165" fontId="75" fillId="52" borderId="12" xfId="163" applyNumberFormat="1" applyFont="1" applyFill="1" applyBorder="1" applyAlignment="1" applyProtection="1">
      <alignment horizontal="center" vertical="top" wrapText="1"/>
    </xf>
    <xf numFmtId="165" fontId="77" fillId="52" borderId="12" xfId="163" applyNumberFormat="1" applyFont="1" applyFill="1" applyBorder="1" applyAlignment="1" applyProtection="1">
      <alignment horizontal="center" vertical="top" wrapText="1"/>
    </xf>
    <xf numFmtId="165" fontId="11" fillId="52" borderId="7" xfId="163" applyNumberFormat="1" applyFont="1" applyFill="1" applyBorder="1" applyAlignment="1" applyProtection="1">
      <alignment horizontal="center" vertical="top" wrapText="1"/>
    </xf>
    <xf numFmtId="165" fontId="160" fillId="52" borderId="15" xfId="163" applyNumberFormat="1" applyFont="1" applyFill="1" applyBorder="1" applyAlignment="1" applyProtection="1">
      <alignment horizontal="center" vertical="center"/>
    </xf>
    <xf numFmtId="165" fontId="161" fillId="52" borderId="12" xfId="163" applyNumberFormat="1" applyFont="1" applyFill="1" applyBorder="1" applyAlignment="1" applyProtection="1">
      <alignment horizontal="center" vertical="center" wrapText="1"/>
    </xf>
    <xf numFmtId="165" fontId="160" fillId="52" borderId="12" xfId="163" applyNumberFormat="1" applyFont="1" applyFill="1" applyBorder="1" applyAlignment="1" applyProtection="1">
      <alignment horizontal="center" vertical="center"/>
    </xf>
    <xf numFmtId="165" fontId="161" fillId="52" borderId="17" xfId="163" applyNumberFormat="1" applyFont="1" applyFill="1" applyBorder="1" applyAlignment="1" applyProtection="1">
      <alignment horizontal="center" vertical="center" wrapText="1"/>
    </xf>
    <xf numFmtId="165" fontId="122" fillId="52" borderId="21" xfId="163" applyNumberFormat="1" applyFont="1" applyFill="1" applyBorder="1" applyProtection="1"/>
    <xf numFmtId="165" fontId="75" fillId="52" borderId="7" xfId="163" applyNumberFormat="1" applyFont="1" applyFill="1" applyBorder="1" applyAlignment="1" applyProtection="1">
      <alignment horizontal="center" vertical="center"/>
    </xf>
    <xf numFmtId="165" fontId="122" fillId="52" borderId="7" xfId="163" quotePrefix="1" applyNumberFormat="1" applyFont="1" applyFill="1" applyBorder="1" applyAlignment="1" applyProtection="1">
      <alignment horizontal="center"/>
    </xf>
    <xf numFmtId="165" fontId="122" fillId="52" borderId="7" xfId="163" applyNumberFormat="1" applyFont="1" applyFill="1" applyBorder="1" applyProtection="1"/>
    <xf numFmtId="165" fontId="75" fillId="52" borderId="19" xfId="163" applyNumberFormat="1" applyFont="1" applyFill="1" applyBorder="1" applyAlignment="1" applyProtection="1">
      <alignment horizontal="left" vertical="center" wrapText="1"/>
    </xf>
    <xf numFmtId="165" fontId="77" fillId="52" borderId="12" xfId="163" applyNumberFormat="1" applyFont="1" applyFill="1" applyBorder="1" applyAlignment="1" applyProtection="1">
      <alignment horizontal="left" vertical="center" wrapText="1"/>
    </xf>
    <xf numFmtId="165" fontId="77" fillId="52" borderId="20" xfId="163" applyNumberFormat="1" applyFont="1" applyFill="1" applyBorder="1" applyAlignment="1" applyProtection="1">
      <alignment horizontal="left" vertical="center" wrapText="1"/>
    </xf>
    <xf numFmtId="165" fontId="77" fillId="52" borderId="16" xfId="163" applyNumberFormat="1" applyFont="1" applyFill="1" applyBorder="1" applyAlignment="1" applyProtection="1">
      <alignment horizontal="left" vertical="center" wrapText="1"/>
    </xf>
    <xf numFmtId="165" fontId="75" fillId="52" borderId="15" xfId="163" applyNumberFormat="1" applyFont="1" applyFill="1" applyBorder="1" applyAlignment="1" applyProtection="1">
      <alignment horizontal="left" vertical="center" wrapText="1"/>
    </xf>
    <xf numFmtId="165" fontId="77" fillId="52" borderId="25" xfId="163" applyNumberFormat="1" applyFont="1" applyFill="1" applyBorder="1" applyAlignment="1" applyProtection="1">
      <alignment horizontal="left" vertical="center" wrapText="1"/>
    </xf>
    <xf numFmtId="165" fontId="77" fillId="52" borderId="18" xfId="163" applyNumberFormat="1" applyFont="1" applyFill="1" applyBorder="1" applyAlignment="1" applyProtection="1">
      <alignment horizontal="left" vertical="center" wrapText="1"/>
    </xf>
    <xf numFmtId="165" fontId="77" fillId="52" borderId="17" xfId="163" applyNumberFormat="1" applyFont="1" applyFill="1" applyBorder="1" applyAlignment="1" applyProtection="1">
      <alignment horizontal="left" vertical="center" wrapText="1"/>
    </xf>
    <xf numFmtId="165" fontId="75" fillId="52" borderId="19" xfId="163" applyNumberFormat="1" applyFont="1" applyFill="1" applyBorder="1" applyAlignment="1" applyProtection="1">
      <alignment horizontal="center" vertical="top" wrapText="1"/>
    </xf>
    <xf numFmtId="165" fontId="75" fillId="52" borderId="17" xfId="163" applyNumberFormat="1" applyFont="1" applyFill="1" applyBorder="1" applyAlignment="1" applyProtection="1">
      <alignment horizontal="center" vertical="top" wrapText="1"/>
    </xf>
    <xf numFmtId="165" fontId="77" fillId="52" borderId="17" xfId="163" applyNumberFormat="1" applyFont="1" applyFill="1" applyBorder="1" applyAlignment="1" applyProtection="1">
      <alignment horizontal="center" vertical="top" wrapText="1"/>
    </xf>
    <xf numFmtId="165" fontId="10" fillId="52" borderId="35" xfId="163" applyNumberFormat="1" applyFont="1" applyFill="1" applyBorder="1" applyAlignment="1" applyProtection="1">
      <alignment horizontal="center" vertical="center" wrapText="1"/>
    </xf>
    <xf numFmtId="165" fontId="10" fillId="52" borderId="12" xfId="163" applyNumberFormat="1" applyFont="1" applyFill="1" applyBorder="1" applyAlignment="1" applyProtection="1">
      <alignment horizontal="center" vertical="center" wrapText="1"/>
    </xf>
    <xf numFmtId="165" fontId="10" fillId="52" borderId="20" xfId="163" applyNumberFormat="1" applyFont="1" applyFill="1" applyBorder="1" applyAlignment="1" applyProtection="1">
      <alignment horizontal="center" vertical="center" wrapText="1"/>
    </xf>
    <xf numFmtId="165" fontId="10" fillId="52" borderId="18" xfId="163" applyNumberFormat="1" applyFont="1" applyFill="1" applyBorder="1" applyAlignment="1" applyProtection="1">
      <alignment horizontal="left" vertical="center" wrapText="1"/>
    </xf>
    <xf numFmtId="165" fontId="10" fillId="52" borderId="12" xfId="163" applyNumberFormat="1" applyFont="1" applyFill="1" applyBorder="1" applyAlignment="1" applyProtection="1">
      <alignment horizontal="right" vertical="center" wrapText="1"/>
    </xf>
    <xf numFmtId="165" fontId="75" fillId="52" borderId="35" xfId="163" applyNumberFormat="1" applyFont="1" applyFill="1" applyBorder="1" applyAlignment="1" applyProtection="1">
      <alignment horizontal="center" vertical="center" wrapText="1"/>
    </xf>
    <xf numFmtId="165" fontId="75" fillId="52" borderId="12" xfId="163" applyNumberFormat="1" applyFont="1" applyFill="1" applyBorder="1" applyAlignment="1" applyProtection="1">
      <alignment horizontal="center" vertical="center" wrapText="1"/>
    </xf>
    <xf numFmtId="165" fontId="75" fillId="52" borderId="20" xfId="163" applyNumberFormat="1" applyFont="1" applyFill="1" applyBorder="1" applyAlignment="1" applyProtection="1">
      <alignment horizontal="center" vertical="center" wrapText="1"/>
    </xf>
    <xf numFmtId="165" fontId="75" fillId="52" borderId="45" xfId="163" applyNumberFormat="1" applyFont="1" applyFill="1" applyBorder="1" applyAlignment="1" applyProtection="1">
      <alignment horizontal="center" vertical="center" wrapText="1"/>
    </xf>
    <xf numFmtId="165" fontId="75" fillId="52" borderId="18" xfId="163" applyNumberFormat="1" applyFont="1" applyFill="1" applyBorder="1" applyAlignment="1" applyProtection="1">
      <alignment horizontal="center" vertical="center" wrapText="1"/>
    </xf>
    <xf numFmtId="165" fontId="75" fillId="52" borderId="42" xfId="163" applyNumberFormat="1" applyFont="1" applyFill="1" applyBorder="1" applyAlignment="1" applyProtection="1">
      <alignment horizontal="center" vertical="center" wrapText="1"/>
    </xf>
    <xf numFmtId="165" fontId="75" fillId="52" borderId="46" xfId="163" applyNumberFormat="1" applyFont="1" applyFill="1" applyBorder="1" applyAlignment="1" applyProtection="1">
      <alignment horizontal="center" vertical="center" wrapText="1"/>
    </xf>
    <xf numFmtId="165" fontId="75" fillId="52" borderId="17" xfId="163" applyNumberFormat="1" applyFont="1" applyFill="1" applyBorder="1" applyAlignment="1" applyProtection="1">
      <alignment horizontal="center" vertical="center" wrapText="1"/>
    </xf>
    <xf numFmtId="165" fontId="75" fillId="52" borderId="43" xfId="163" applyNumberFormat="1" applyFont="1" applyFill="1" applyBorder="1" applyAlignment="1" applyProtection="1">
      <alignment horizontal="center" vertical="center" wrapText="1"/>
    </xf>
    <xf numFmtId="165" fontId="11" fillId="52" borderId="15" xfId="163" applyNumberFormat="1" applyFont="1" applyFill="1" applyBorder="1" applyAlignment="1" applyProtection="1">
      <alignment vertical="center" wrapText="1"/>
    </xf>
    <xf numFmtId="165" fontId="11" fillId="52" borderId="12" xfId="163" applyNumberFormat="1" applyFont="1" applyFill="1" applyBorder="1" applyAlignment="1" applyProtection="1">
      <alignment vertical="center" wrapText="1"/>
    </xf>
    <xf numFmtId="165" fontId="10" fillId="52" borderId="12" xfId="163" applyNumberFormat="1" applyFont="1" applyFill="1" applyBorder="1" applyAlignment="1" applyProtection="1">
      <alignment vertical="center" wrapText="1"/>
    </xf>
    <xf numFmtId="165" fontId="75" fillId="52" borderId="15" xfId="163" applyNumberFormat="1" applyFont="1" applyFill="1" applyBorder="1" applyAlignment="1" applyProtection="1">
      <alignment horizontal="right" vertical="center" wrapText="1"/>
    </xf>
    <xf numFmtId="165" fontId="75" fillId="52" borderId="12" xfId="163" applyNumberFormat="1" applyFont="1" applyFill="1" applyBorder="1" applyAlignment="1" applyProtection="1">
      <alignment horizontal="right" vertical="center" wrapText="1"/>
    </xf>
    <xf numFmtId="165" fontId="7" fillId="52" borderId="12" xfId="163" applyNumberFormat="1" applyFont="1" applyFill="1" applyBorder="1" applyAlignment="1" applyProtection="1">
      <alignment vertical="center" wrapText="1"/>
    </xf>
    <xf numFmtId="165" fontId="7" fillId="52" borderId="17" xfId="163" applyNumberFormat="1" applyFont="1" applyFill="1" applyBorder="1" applyAlignment="1" applyProtection="1">
      <alignment vertical="center" wrapText="1"/>
    </xf>
    <xf numFmtId="165" fontId="75" fillId="52" borderId="16" xfId="163" applyNumberFormat="1" applyFont="1" applyFill="1" applyBorder="1" applyAlignment="1" applyProtection="1">
      <alignment vertical="center"/>
    </xf>
    <xf numFmtId="165" fontId="77" fillId="52" borderId="12" xfId="163" applyNumberFormat="1" applyFont="1" applyFill="1" applyBorder="1" applyAlignment="1" applyProtection="1">
      <alignment vertical="center"/>
    </xf>
    <xf numFmtId="165" fontId="77" fillId="52" borderId="12" xfId="163" applyNumberFormat="1" applyFont="1" applyFill="1" applyBorder="1" applyAlignment="1" applyProtection="1">
      <alignment horizontal="center" vertical="center"/>
    </xf>
    <xf numFmtId="165" fontId="77" fillId="52" borderId="17" xfId="163" applyNumberFormat="1" applyFont="1" applyFill="1" applyBorder="1" applyAlignment="1" applyProtection="1">
      <alignment vertical="center"/>
    </xf>
    <xf numFmtId="165" fontId="77" fillId="52" borderId="17" xfId="163" applyNumberFormat="1" applyFont="1" applyFill="1" applyBorder="1" applyAlignment="1" applyProtection="1">
      <alignment horizontal="center" vertical="center"/>
    </xf>
    <xf numFmtId="165" fontId="77" fillId="52" borderId="12" xfId="163" applyNumberFormat="1" applyFont="1" applyFill="1" applyBorder="1" applyAlignment="1" applyProtection="1">
      <alignment vertical="top" wrapText="1"/>
    </xf>
    <xf numFmtId="165" fontId="77" fillId="52" borderId="17" xfId="163" applyNumberFormat="1" applyFont="1" applyFill="1" applyBorder="1" applyAlignment="1" applyProtection="1">
      <alignment vertical="top" wrapText="1"/>
    </xf>
    <xf numFmtId="165" fontId="75" fillId="52" borderId="15" xfId="163" applyNumberFormat="1" applyFont="1" applyFill="1" applyBorder="1" applyAlignment="1" applyProtection="1">
      <alignment horizontal="center" vertical="center"/>
    </xf>
    <xf numFmtId="165" fontId="75" fillId="52" borderId="12" xfId="163" applyNumberFormat="1" applyFont="1" applyFill="1" applyBorder="1" applyAlignment="1" applyProtection="1">
      <alignment horizontal="center" vertical="center"/>
    </xf>
    <xf numFmtId="165" fontId="10" fillId="52" borderId="12" xfId="163" applyNumberFormat="1" applyFont="1" applyFill="1" applyBorder="1" applyAlignment="1" applyProtection="1">
      <alignment horizontal="center" vertical="center"/>
    </xf>
    <xf numFmtId="165" fontId="10" fillId="52" borderId="17" xfId="163" applyNumberFormat="1" applyFont="1" applyFill="1" applyBorder="1" applyAlignment="1" applyProtection="1">
      <alignment horizontal="center" vertical="center" wrapText="1"/>
    </xf>
    <xf numFmtId="3" fontId="10" fillId="52" borderId="12" xfId="163" applyNumberFormat="1" applyFont="1" applyFill="1" applyBorder="1" applyAlignment="1" applyProtection="1">
      <alignment horizontal="right" vertical="center" wrapText="1"/>
    </xf>
    <xf numFmtId="165" fontId="75" fillId="52" borderId="16" xfId="163" applyNumberFormat="1" applyFont="1" applyFill="1" applyBorder="1" applyAlignment="1" applyProtection="1">
      <alignment horizontal="right" vertical="center" wrapText="1"/>
    </xf>
    <xf numFmtId="165" fontId="10" fillId="52" borderId="18" xfId="163" applyNumberFormat="1" applyFont="1" applyFill="1" applyBorder="1" applyAlignment="1" applyProtection="1">
      <alignment horizontal="center" vertical="center" wrapText="1"/>
    </xf>
    <xf numFmtId="165" fontId="75" fillId="52" borderId="7" xfId="163" applyNumberFormat="1" applyFont="1" applyFill="1" applyBorder="1" applyAlignment="1" applyProtection="1">
      <alignment horizontal="right" vertical="center" wrapText="1"/>
    </xf>
    <xf numFmtId="165" fontId="10" fillId="52" borderId="7" xfId="163" applyNumberFormat="1" applyFont="1" applyFill="1" applyBorder="1" applyAlignment="1" applyProtection="1">
      <alignment horizontal="center" vertical="center" wrapText="1"/>
    </xf>
    <xf numFmtId="165" fontId="75" fillId="52" borderId="17" xfId="163" applyNumberFormat="1" applyFont="1" applyFill="1" applyBorder="1" applyAlignment="1" applyProtection="1">
      <alignment horizontal="right" vertical="center" wrapText="1"/>
    </xf>
    <xf numFmtId="165" fontId="10" fillId="52" borderId="15" xfId="163" applyNumberFormat="1" applyFont="1" applyFill="1" applyBorder="1" applyAlignment="1" applyProtection="1">
      <alignment horizontal="center" vertical="center" wrapText="1"/>
    </xf>
    <xf numFmtId="0" fontId="10" fillId="52" borderId="26" xfId="224" applyFont="1" applyFill="1" applyBorder="1" applyAlignment="1" applyProtection="1">
      <alignment horizontal="center" vertical="center" wrapText="1"/>
    </xf>
    <xf numFmtId="0" fontId="10" fillId="52" borderId="17" xfId="224" applyFont="1" applyFill="1" applyBorder="1" applyAlignment="1" applyProtection="1">
      <alignment horizontal="center" vertical="center"/>
    </xf>
    <xf numFmtId="0" fontId="75" fillId="30" borderId="7" xfId="224" applyFont="1" applyFill="1" applyBorder="1" applyAlignment="1">
      <alignment horizontal="right" vertical="top" wrapText="1"/>
    </xf>
    <xf numFmtId="166" fontId="75" fillId="52" borderId="15" xfId="163" applyNumberFormat="1" applyFont="1" applyFill="1" applyBorder="1" applyAlignment="1" applyProtection="1">
      <alignment horizontal="center" vertical="center" wrapText="1"/>
    </xf>
    <xf numFmtId="166" fontId="75" fillId="52" borderId="18" xfId="163" applyNumberFormat="1" applyFont="1" applyFill="1" applyBorder="1" applyAlignment="1" applyProtection="1">
      <alignment horizontal="center" vertical="center" wrapText="1"/>
    </xf>
    <xf numFmtId="165" fontId="75" fillId="52" borderId="7" xfId="163" applyNumberFormat="1" applyFont="1" applyFill="1" applyBorder="1" applyAlignment="1" applyProtection="1">
      <alignment vertical="top" wrapText="1"/>
    </xf>
    <xf numFmtId="166" fontId="146" fillId="52" borderId="16" xfId="163" applyNumberFormat="1" applyFont="1" applyFill="1" applyBorder="1" applyAlignment="1" applyProtection="1">
      <alignment vertical="top" wrapText="1"/>
    </xf>
    <xf numFmtId="166" fontId="75" fillId="52" borderId="12" xfId="163" applyNumberFormat="1" applyFont="1" applyFill="1" applyBorder="1" applyAlignment="1" applyProtection="1">
      <alignment vertical="top" wrapText="1"/>
    </xf>
    <xf numFmtId="166" fontId="75" fillId="52" borderId="18" xfId="163" applyNumberFormat="1" applyFont="1" applyFill="1" applyBorder="1" applyAlignment="1" applyProtection="1">
      <alignment vertical="top" wrapText="1"/>
    </xf>
    <xf numFmtId="165" fontId="75" fillId="52" borderId="15" xfId="163" applyNumberFormat="1" applyFont="1" applyFill="1" applyBorder="1" applyAlignment="1" applyProtection="1">
      <alignment horizontal="center" wrapText="1"/>
    </xf>
    <xf numFmtId="165" fontId="75" fillId="52" borderId="12" xfId="163" applyNumberFormat="1" applyFont="1" applyFill="1" applyBorder="1" applyAlignment="1" applyProtection="1">
      <alignment horizontal="center" wrapText="1"/>
    </xf>
    <xf numFmtId="165" fontId="75" fillId="52" borderId="17" xfId="163" applyNumberFormat="1" applyFont="1" applyFill="1" applyBorder="1" applyAlignment="1" applyProtection="1">
      <alignment horizontal="center" wrapText="1"/>
    </xf>
    <xf numFmtId="165" fontId="75" fillId="52" borderId="7" xfId="163" applyNumberFormat="1" applyFont="1" applyFill="1" applyBorder="1" applyAlignment="1" applyProtection="1">
      <alignment horizontal="center" wrapText="1"/>
    </xf>
    <xf numFmtId="165" fontId="75" fillId="52" borderId="15" xfId="163" applyNumberFormat="1" applyFont="1" applyFill="1" applyBorder="1" applyProtection="1"/>
    <xf numFmtId="165" fontId="77" fillId="52" borderId="12" xfId="163" applyNumberFormat="1" applyFont="1" applyFill="1" applyBorder="1" applyProtection="1"/>
    <xf numFmtId="165" fontId="77" fillId="52" borderId="37" xfId="163" applyNumberFormat="1" applyFont="1" applyFill="1" applyBorder="1" applyAlignment="1" applyProtection="1"/>
    <xf numFmtId="165" fontId="77" fillId="52" borderId="17" xfId="163" applyNumberFormat="1" applyFont="1" applyFill="1" applyBorder="1" applyProtection="1"/>
    <xf numFmtId="165" fontId="75" fillId="52" borderId="7" xfId="163" applyNumberFormat="1" applyFont="1" applyFill="1" applyBorder="1" applyProtection="1"/>
    <xf numFmtId="165" fontId="77" fillId="52" borderId="38" xfId="163" applyNumberFormat="1" applyFont="1" applyFill="1" applyBorder="1" applyProtection="1"/>
    <xf numFmtId="165" fontId="77" fillId="52" borderId="39" xfId="163" applyNumberFormat="1" applyFont="1" applyFill="1" applyBorder="1" applyProtection="1"/>
    <xf numFmtId="165" fontId="77" fillId="52" borderId="40" xfId="163" applyNumberFormat="1" applyFont="1" applyFill="1" applyBorder="1" applyProtection="1"/>
    <xf numFmtId="165" fontId="77" fillId="52" borderId="37" xfId="163" applyNumberFormat="1" applyFont="1" applyFill="1" applyBorder="1" applyProtection="1"/>
    <xf numFmtId="165" fontId="77" fillId="52" borderId="41" xfId="163" applyNumberFormat="1" applyFont="1" applyFill="1" applyBorder="1" applyProtection="1"/>
    <xf numFmtId="165" fontId="77" fillId="52" borderId="37" xfId="163" applyNumberFormat="1" applyFont="1" applyFill="1" applyBorder="1" applyAlignment="1" applyProtection="1">
      <alignment horizontal="right"/>
    </xf>
    <xf numFmtId="165" fontId="77" fillId="52" borderId="47" xfId="163" applyNumberFormat="1" applyFont="1" applyFill="1" applyBorder="1" applyAlignment="1" applyProtection="1">
      <alignment horizontal="right"/>
    </xf>
    <xf numFmtId="165" fontId="75" fillId="52" borderId="7" xfId="163" applyNumberFormat="1" applyFont="1" applyFill="1" applyBorder="1" applyAlignment="1" applyProtection="1">
      <alignment horizontal="right"/>
    </xf>
    <xf numFmtId="0" fontId="124" fillId="0" borderId="0" xfId="0" applyFont="1" applyFill="1" applyAlignment="1">
      <alignment horizontal="left"/>
    </xf>
    <xf numFmtId="0" fontId="148" fillId="0" borderId="0" xfId="236" applyFont="1" applyFill="1"/>
    <xf numFmtId="0" fontId="148" fillId="0" borderId="0" xfId="236" applyFont="1" applyFill="1" applyAlignment="1">
      <alignment wrapText="1"/>
    </xf>
    <xf numFmtId="0" fontId="124" fillId="0" borderId="0" xfId="0" applyFont="1" applyFill="1"/>
    <xf numFmtId="0" fontId="92" fillId="29" borderId="7" xfId="224" applyFont="1" applyFill="1" applyBorder="1" applyAlignment="1" applyProtection="1">
      <alignment vertical="center" wrapText="1"/>
      <protection locked="0"/>
    </xf>
    <xf numFmtId="0" fontId="10" fillId="53" borderId="24" xfId="163" applyNumberFormat="1" applyFont="1" applyFill="1" applyBorder="1" applyAlignment="1" applyProtection="1">
      <alignment horizontal="center" vertical="top" wrapText="1"/>
    </xf>
    <xf numFmtId="10" fontId="10" fillId="53" borderId="24" xfId="266" applyNumberFormat="1" applyFont="1" applyFill="1" applyBorder="1" applyAlignment="1" applyProtection="1">
      <alignment horizontal="center" vertical="top" wrapText="1"/>
    </xf>
    <xf numFmtId="165" fontId="10" fillId="53" borderId="24" xfId="163" applyNumberFormat="1" applyFont="1" applyFill="1" applyBorder="1" applyAlignment="1" applyProtection="1">
      <alignment horizontal="center" vertical="top" wrapText="1"/>
    </xf>
    <xf numFmtId="165" fontId="7" fillId="53" borderId="7" xfId="163" applyNumberFormat="1" applyFont="1" applyFill="1" applyBorder="1" applyAlignment="1" applyProtection="1">
      <alignment vertical="center" wrapText="1"/>
    </xf>
    <xf numFmtId="165" fontId="75" fillId="31" borderId="12" xfId="162" applyNumberFormat="1" applyFont="1" applyFill="1" applyBorder="1" applyAlignment="1" applyProtection="1">
      <alignment horizontal="right" vertical="top" wrapText="1"/>
    </xf>
    <xf numFmtId="165" fontId="75" fillId="33" borderId="12" xfId="162" applyNumberFormat="1" applyFont="1" applyFill="1" applyBorder="1" applyAlignment="1" applyProtection="1">
      <alignment horizontal="justify" vertical="top" wrapText="1"/>
      <protection locked="0"/>
    </xf>
    <xf numFmtId="165" fontId="75" fillId="31" borderId="25" xfId="162" applyNumberFormat="1" applyFont="1" applyFill="1" applyBorder="1" applyAlignment="1">
      <alignment vertical="top" wrapText="1"/>
    </xf>
    <xf numFmtId="165" fontId="77" fillId="33" borderId="17" xfId="162" applyNumberFormat="1" applyFont="1" applyFill="1" applyBorder="1" applyAlignment="1" applyProtection="1">
      <alignment vertical="top" wrapText="1"/>
      <protection locked="0"/>
    </xf>
    <xf numFmtId="165" fontId="77" fillId="33" borderId="18" xfId="162" applyNumberFormat="1" applyFont="1" applyFill="1" applyBorder="1" applyAlignment="1" applyProtection="1">
      <alignment vertical="top" wrapText="1"/>
      <protection locked="0"/>
    </xf>
    <xf numFmtId="165" fontId="75" fillId="34" borderId="12" xfId="162" applyNumberFormat="1" applyFont="1" applyFill="1" applyBorder="1" applyAlignment="1" applyProtection="1">
      <alignment horizontal="right" vertical="top" wrapText="1"/>
      <protection locked="0"/>
    </xf>
    <xf numFmtId="165" fontId="73" fillId="33" borderId="18" xfId="162" applyNumberFormat="1" applyFont="1" applyFill="1" applyBorder="1" applyAlignment="1" applyProtection="1">
      <alignment horizontal="left" vertical="center" wrapText="1"/>
      <protection locked="0"/>
    </xf>
    <xf numFmtId="166" fontId="75" fillId="34" borderId="17" xfId="162" applyNumberFormat="1" applyFont="1" applyFill="1" applyBorder="1" applyAlignment="1" applyProtection="1">
      <alignment horizontal="center" vertical="center"/>
      <protection locked="0"/>
    </xf>
    <xf numFmtId="165" fontId="73" fillId="33" borderId="12" xfId="163" applyNumberFormat="1" applyFont="1" applyFill="1" applyBorder="1" applyAlignment="1" applyProtection="1">
      <alignment horizontal="right" vertical="center" wrapText="1"/>
      <protection locked="0"/>
    </xf>
    <xf numFmtId="165" fontId="11" fillId="31" borderId="7" xfId="163" applyNumberFormat="1" applyFont="1" applyFill="1" applyBorder="1" applyAlignment="1">
      <alignment vertical="center" wrapText="1"/>
    </xf>
    <xf numFmtId="165" fontId="10" fillId="33" borderId="12" xfId="163" applyNumberFormat="1" applyFont="1" applyFill="1" applyBorder="1" applyAlignment="1" applyProtection="1">
      <alignment vertical="top" wrapText="1"/>
      <protection locked="0"/>
    </xf>
    <xf numFmtId="3" fontId="10" fillId="35" borderId="12" xfId="163" applyNumberFormat="1" applyFont="1" applyFill="1" applyBorder="1" applyAlignment="1" applyProtection="1">
      <alignment vertical="top" wrapText="1"/>
      <protection locked="0"/>
    </xf>
    <xf numFmtId="165" fontId="10" fillId="34" borderId="12" xfId="163" applyNumberFormat="1" applyFont="1" applyFill="1" applyBorder="1" applyAlignment="1" applyProtection="1">
      <alignment horizontal="right" vertical="top" wrapText="1"/>
      <protection locked="0"/>
    </xf>
    <xf numFmtId="165" fontId="77" fillId="30" borderId="12" xfId="163" applyNumberFormat="1" applyFont="1" applyFill="1" applyBorder="1" applyAlignment="1">
      <alignment horizontal="center" vertical="center" wrapText="1"/>
    </xf>
    <xf numFmtId="49" fontId="88" fillId="29" borderId="8" xfId="0" applyNumberFormat="1" applyFont="1" applyFill="1" applyBorder="1" applyAlignment="1" applyProtection="1">
      <alignment horizontal="left" vertical="top"/>
    </xf>
    <xf numFmtId="49" fontId="88" fillId="29" borderId="21" xfId="0" applyNumberFormat="1" applyFont="1" applyFill="1" applyBorder="1" applyAlignment="1" applyProtection="1">
      <alignment horizontal="left" vertical="top"/>
    </xf>
    <xf numFmtId="0" fontId="5" fillId="29" borderId="8" xfId="224" applyNumberFormat="1" applyFont="1" applyFill="1" applyBorder="1" applyAlignment="1">
      <alignment horizontal="center" vertical="center"/>
    </xf>
    <xf numFmtId="0" fontId="5" fillId="29" borderId="34" xfId="224" applyNumberFormat="1" applyFont="1" applyFill="1" applyBorder="1" applyAlignment="1">
      <alignment horizontal="center" vertical="center"/>
    </xf>
    <xf numFmtId="0" fontId="5" fillId="29" borderId="21" xfId="224" applyNumberFormat="1" applyFont="1" applyFill="1" applyBorder="1" applyAlignment="1">
      <alignment horizontal="center" vertical="center"/>
    </xf>
    <xf numFmtId="0" fontId="121" fillId="0" borderId="0" xfId="0" applyFont="1" applyAlignment="1">
      <alignment horizontal="center" wrapText="1"/>
    </xf>
    <xf numFmtId="0" fontId="121" fillId="0" borderId="0" xfId="0" applyFont="1" applyAlignment="1">
      <alignment horizontal="left" wrapText="1"/>
    </xf>
    <xf numFmtId="0" fontId="77" fillId="29" borderId="29" xfId="0" applyFont="1" applyFill="1" applyBorder="1" applyAlignment="1">
      <alignment horizontal="center" vertical="center"/>
    </xf>
    <xf numFmtId="0" fontId="77" fillId="29" borderId="33" xfId="0" applyFont="1" applyFill="1" applyBorder="1" applyAlignment="1">
      <alignment horizontal="center" vertical="center"/>
    </xf>
    <xf numFmtId="0" fontId="77" fillId="29" borderId="30" xfId="0" applyFont="1" applyFill="1" applyBorder="1" applyAlignment="1">
      <alignment horizontal="center" vertical="center"/>
    </xf>
    <xf numFmtId="0" fontId="77" fillId="29" borderId="31" xfId="0" applyFont="1" applyFill="1" applyBorder="1" applyAlignment="1">
      <alignment horizontal="center" vertical="center"/>
    </xf>
    <xf numFmtId="0" fontId="77" fillId="29" borderId="32" xfId="0" applyFont="1" applyFill="1" applyBorder="1" applyAlignment="1">
      <alignment horizontal="center" vertical="center"/>
    </xf>
    <xf numFmtId="0" fontId="77" fillId="29" borderId="28" xfId="0" applyFont="1" applyFill="1" applyBorder="1" applyAlignment="1">
      <alignment horizontal="center" vertical="center"/>
    </xf>
    <xf numFmtId="0" fontId="121" fillId="0" borderId="0" xfId="224" applyFont="1" applyAlignment="1">
      <alignment horizontal="right" vertical="center"/>
    </xf>
    <xf numFmtId="0" fontId="11" fillId="29" borderId="8" xfId="224" applyFont="1" applyFill="1" applyBorder="1" applyAlignment="1">
      <alignment horizontal="center" vertical="center" wrapText="1"/>
    </xf>
    <xf numFmtId="0" fontId="11" fillId="29" borderId="34" xfId="224" applyFont="1" applyFill="1" applyBorder="1" applyAlignment="1">
      <alignment horizontal="center" vertical="center"/>
    </xf>
    <xf numFmtId="0" fontId="11" fillId="29" borderId="21" xfId="224" applyFont="1" applyFill="1" applyBorder="1" applyAlignment="1">
      <alignment horizontal="center" vertical="center"/>
    </xf>
    <xf numFmtId="0" fontId="11" fillId="29" borderId="19" xfId="224" applyFont="1" applyFill="1" applyBorder="1" applyAlignment="1">
      <alignment horizontal="center" vertical="center" wrapText="1"/>
    </xf>
    <xf numFmtId="0" fontId="11" fillId="29" borderId="25" xfId="224" applyFont="1" applyFill="1" applyBorder="1" applyAlignment="1">
      <alignment horizontal="center" vertical="center" wrapText="1"/>
    </xf>
    <xf numFmtId="0" fontId="11" fillId="29" borderId="24" xfId="224" applyFont="1" applyFill="1" applyBorder="1" applyAlignment="1">
      <alignment horizontal="center" vertical="center" wrapText="1"/>
    </xf>
    <xf numFmtId="0" fontId="11" fillId="29" borderId="31" xfId="224" applyFont="1" applyFill="1" applyBorder="1" applyAlignment="1">
      <alignment horizontal="center" vertical="center" wrapText="1"/>
    </xf>
    <xf numFmtId="0" fontId="11" fillId="29" borderId="28" xfId="224" applyFont="1" applyFill="1" applyBorder="1" applyAlignment="1">
      <alignment horizontal="center" vertical="center" wrapText="1"/>
    </xf>
    <xf numFmtId="0" fontId="11" fillId="29" borderId="29" xfId="224" applyFont="1" applyFill="1" applyBorder="1" applyAlignment="1">
      <alignment horizontal="center" vertical="center" wrapText="1"/>
    </xf>
    <xf numFmtId="0" fontId="11" fillId="29" borderId="30" xfId="224" applyFont="1" applyFill="1" applyBorder="1" applyAlignment="1">
      <alignment horizontal="center" vertical="center" wrapText="1"/>
    </xf>
    <xf numFmtId="0" fontId="120" fillId="0" borderId="0" xfId="224" applyFont="1" applyFill="1" applyBorder="1" applyAlignment="1">
      <alignment horizontal="left" vertical="top" wrapText="1"/>
    </xf>
    <xf numFmtId="0" fontId="9" fillId="29" borderId="19" xfId="0" applyFont="1" applyFill="1" applyBorder="1" applyAlignment="1">
      <alignment horizontal="center" vertical="center" wrapText="1"/>
    </xf>
    <xf numFmtId="0" fontId="9" fillId="29" borderId="25" xfId="0" applyFont="1" applyFill="1" applyBorder="1" applyAlignment="1">
      <alignment horizontal="center" vertical="center" wrapText="1"/>
    </xf>
    <xf numFmtId="0" fontId="9" fillId="29" borderId="24" xfId="0" applyFont="1" applyFill="1" applyBorder="1" applyAlignment="1">
      <alignment horizontal="center" vertical="center" wrapText="1"/>
    </xf>
    <xf numFmtId="0" fontId="51" fillId="29" borderId="19" xfId="224" applyFont="1" applyFill="1" applyBorder="1" applyAlignment="1">
      <alignment horizontal="center" vertical="center" wrapText="1"/>
    </xf>
    <xf numFmtId="0" fontId="51" fillId="29" borderId="25" xfId="224" applyFont="1" applyFill="1" applyBorder="1" applyAlignment="1">
      <alignment horizontal="center" vertical="center" wrapText="1"/>
    </xf>
    <xf numFmtId="0" fontId="51" fillId="29" borderId="24" xfId="224" applyFont="1" applyFill="1" applyBorder="1" applyAlignment="1">
      <alignment horizontal="center" vertical="center" wrapText="1"/>
    </xf>
    <xf numFmtId="0" fontId="51" fillId="29" borderId="19" xfId="0" applyFont="1" applyFill="1" applyBorder="1" applyAlignment="1">
      <alignment horizontal="center" vertical="center" wrapText="1"/>
    </xf>
    <xf numFmtId="0" fontId="51" fillId="29" borderId="25" xfId="0" applyFont="1" applyFill="1" applyBorder="1" applyAlignment="1">
      <alignment horizontal="center" vertical="center" wrapText="1"/>
    </xf>
    <xf numFmtId="0" fontId="51" fillId="29" borderId="24" xfId="0" applyFont="1" applyFill="1" applyBorder="1" applyAlignment="1">
      <alignment horizontal="center" vertical="center" wrapText="1"/>
    </xf>
    <xf numFmtId="0" fontId="10" fillId="29" borderId="31" xfId="0" applyFont="1" applyFill="1" applyBorder="1" applyAlignment="1">
      <alignment horizontal="center"/>
    </xf>
    <xf numFmtId="0" fontId="10" fillId="29" borderId="29" xfId="0" applyFont="1" applyFill="1" applyBorder="1" applyAlignment="1">
      <alignment horizontal="center"/>
    </xf>
    <xf numFmtId="0" fontId="10" fillId="29" borderId="32" xfId="0" applyFont="1" applyFill="1" applyBorder="1" applyAlignment="1">
      <alignment horizontal="center"/>
    </xf>
    <xf numFmtId="0" fontId="10" fillId="29" borderId="33" xfId="0" applyFont="1" applyFill="1" applyBorder="1" applyAlignment="1">
      <alignment horizontal="center"/>
    </xf>
    <xf numFmtId="0" fontId="10" fillId="29" borderId="28" xfId="0" applyFont="1" applyFill="1" applyBorder="1" applyAlignment="1">
      <alignment horizontal="center"/>
    </xf>
    <xf numFmtId="0" fontId="10" fillId="29" borderId="30" xfId="0" applyFont="1" applyFill="1" applyBorder="1" applyAlignment="1">
      <alignment horizontal="center"/>
    </xf>
    <xf numFmtId="0" fontId="51" fillId="29" borderId="16" xfId="224" applyFont="1" applyFill="1" applyBorder="1" applyAlignment="1">
      <alignment horizontal="center" vertical="center" wrapText="1"/>
    </xf>
    <xf numFmtId="0" fontId="121" fillId="0" borderId="0" xfId="236" applyFont="1" applyAlignment="1">
      <alignment horizontal="left" wrapText="1"/>
    </xf>
    <xf numFmtId="0" fontId="11" fillId="29" borderId="19" xfId="236" applyFont="1" applyFill="1" applyBorder="1" applyAlignment="1">
      <alignment horizontal="center" vertical="center" wrapText="1"/>
    </xf>
    <xf numFmtId="0" fontId="11" fillId="29" borderId="24" xfId="236" applyFont="1" applyFill="1" applyBorder="1" applyAlignment="1">
      <alignment horizontal="center" vertical="center" wrapText="1"/>
    </xf>
    <xf numFmtId="0" fontId="11" fillId="29" borderId="8" xfId="236" applyFont="1" applyFill="1" applyBorder="1" applyAlignment="1">
      <alignment horizontal="center" vertical="center" wrapText="1"/>
    </xf>
    <xf numFmtId="0" fontId="11" fillId="29" borderId="34" xfId="236" applyFont="1" applyFill="1" applyBorder="1" applyAlignment="1">
      <alignment horizontal="center" vertical="center" wrapText="1"/>
    </xf>
    <xf numFmtId="0" fontId="11" fillId="29" borderId="21" xfId="236" applyFont="1" applyFill="1" applyBorder="1" applyAlignment="1">
      <alignment horizontal="center" vertical="center" wrapText="1"/>
    </xf>
    <xf numFmtId="0" fontId="121" fillId="0" borderId="0" xfId="236" applyFont="1" applyAlignment="1">
      <alignment horizontal="left" vertical="top" wrapText="1"/>
    </xf>
    <xf numFmtId="0" fontId="11" fillId="29" borderId="8" xfId="224" applyFont="1" applyFill="1" applyBorder="1" applyAlignment="1">
      <alignment horizontal="center" vertical="top" wrapText="1"/>
    </xf>
    <xf numFmtId="0" fontId="11" fillId="29" borderId="34" xfId="224" applyFont="1" applyFill="1" applyBorder="1" applyAlignment="1">
      <alignment horizontal="center" vertical="top" wrapText="1"/>
    </xf>
    <xf numFmtId="0" fontId="11" fillId="29" borderId="21" xfId="224" applyFont="1" applyFill="1" applyBorder="1" applyAlignment="1">
      <alignment horizontal="center" vertical="top" wrapText="1"/>
    </xf>
    <xf numFmtId="0" fontId="5" fillId="29" borderId="31" xfId="0" applyFont="1" applyFill="1" applyBorder="1" applyAlignment="1">
      <alignment horizontal="center"/>
    </xf>
    <xf numFmtId="0" fontId="5" fillId="29" borderId="29" xfId="0" applyFont="1" applyFill="1" applyBorder="1" applyAlignment="1">
      <alignment horizontal="center"/>
    </xf>
    <xf numFmtId="0" fontId="5" fillId="29" borderId="32" xfId="0" applyFont="1" applyFill="1" applyBorder="1" applyAlignment="1">
      <alignment horizontal="center"/>
    </xf>
    <xf numFmtId="0" fontId="5" fillId="29" borderId="33" xfId="0" applyFont="1" applyFill="1" applyBorder="1" applyAlignment="1">
      <alignment horizontal="center"/>
    </xf>
    <xf numFmtId="0" fontId="5" fillId="29" borderId="28" xfId="0" applyFont="1" applyFill="1" applyBorder="1" applyAlignment="1">
      <alignment horizontal="center"/>
    </xf>
    <xf numFmtId="0" fontId="5" fillId="29" borderId="30" xfId="0" applyFont="1" applyFill="1" applyBorder="1" applyAlignment="1">
      <alignment horizontal="center"/>
    </xf>
    <xf numFmtId="0" fontId="121" fillId="0" borderId="0" xfId="0" applyFont="1" applyBorder="1" applyAlignment="1">
      <alignment horizontal="right" wrapText="1"/>
    </xf>
    <xf numFmtId="0" fontId="11" fillId="29" borderId="8" xfId="0" applyFont="1" applyFill="1" applyBorder="1" applyAlignment="1">
      <alignment horizontal="center" vertical="center" wrapText="1"/>
    </xf>
    <xf numFmtId="0" fontId="11" fillId="29" borderId="34" xfId="0" applyFont="1" applyFill="1" applyBorder="1" applyAlignment="1">
      <alignment horizontal="center" vertical="center"/>
    </xf>
    <xf numFmtId="0" fontId="11" fillId="29" borderId="21" xfId="0" applyFont="1" applyFill="1" applyBorder="1" applyAlignment="1">
      <alignment horizontal="center" vertical="center"/>
    </xf>
    <xf numFmtId="0" fontId="11" fillId="29" borderId="7" xfId="0" applyFont="1" applyFill="1" applyBorder="1" applyAlignment="1">
      <alignment horizontal="center" vertical="center" wrapText="1"/>
    </xf>
    <xf numFmtId="0" fontId="4" fillId="29" borderId="7" xfId="0" applyFont="1" applyFill="1" applyBorder="1" applyAlignment="1">
      <alignment horizontal="center" vertical="center" wrapText="1"/>
    </xf>
    <xf numFmtId="0" fontId="8" fillId="29" borderId="8" xfId="0" applyFont="1" applyFill="1" applyBorder="1" applyAlignment="1">
      <alignment horizontal="center" vertical="center" wrapText="1"/>
    </xf>
    <xf numFmtId="0" fontId="0" fillId="29" borderId="34" xfId="0" applyFill="1" applyBorder="1" applyAlignment="1">
      <alignment horizontal="center" vertical="center" wrapText="1"/>
    </xf>
    <xf numFmtId="0" fontId="0" fillId="29" borderId="21" xfId="0" applyFill="1" applyBorder="1" applyAlignment="1">
      <alignment horizontal="center" vertical="center" wrapText="1"/>
    </xf>
    <xf numFmtId="0" fontId="11" fillId="29" borderId="19" xfId="0" applyFont="1" applyFill="1" applyBorder="1" applyAlignment="1">
      <alignment horizontal="center" vertical="center" wrapText="1"/>
    </xf>
    <xf numFmtId="0" fontId="11" fillId="29" borderId="24" xfId="0" applyFont="1" applyFill="1" applyBorder="1" applyAlignment="1">
      <alignment horizontal="center" vertical="center" wrapText="1"/>
    </xf>
    <xf numFmtId="0" fontId="10" fillId="29" borderId="33" xfId="0" applyFont="1" applyFill="1" applyBorder="1" applyAlignment="1">
      <alignment wrapText="1"/>
    </xf>
    <xf numFmtId="0" fontId="11" fillId="29" borderId="8" xfId="0" applyFont="1" applyFill="1" applyBorder="1" applyAlignment="1">
      <alignment horizontal="center"/>
    </xf>
    <xf numFmtId="0" fontId="11" fillId="29" borderId="21" xfId="0" applyFont="1" applyFill="1" applyBorder="1" applyAlignment="1">
      <alignment horizontal="center"/>
    </xf>
    <xf numFmtId="0" fontId="11" fillId="29" borderId="34" xfId="0" applyFont="1" applyFill="1" applyBorder="1" applyAlignment="1">
      <alignment horizontal="center" vertical="center" wrapText="1"/>
    </xf>
    <xf numFmtId="0" fontId="11" fillId="29" borderId="21" xfId="0" applyFont="1" applyFill="1" applyBorder="1" applyAlignment="1">
      <alignment horizontal="center" vertical="center" wrapText="1"/>
    </xf>
    <xf numFmtId="0" fontId="5" fillId="29" borderId="29" xfId="0" applyFont="1" applyFill="1" applyBorder="1" applyAlignment="1">
      <alignment horizontal="center" wrapText="1"/>
    </xf>
    <xf numFmtId="0" fontId="5" fillId="29" borderId="33" xfId="0" applyFont="1" applyFill="1" applyBorder="1" applyAlignment="1">
      <alignment horizontal="center" wrapText="1"/>
    </xf>
    <xf numFmtId="0" fontId="121" fillId="0" borderId="0" xfId="0" applyFont="1"/>
    <xf numFmtId="0" fontId="121" fillId="0" borderId="14" xfId="0" applyFont="1" applyBorder="1"/>
    <xf numFmtId="0" fontId="121" fillId="0" borderId="0" xfId="0" applyFont="1" applyAlignment="1">
      <alignment wrapText="1"/>
    </xf>
    <xf numFmtId="0" fontId="4" fillId="29" borderId="34" xfId="224" applyFont="1" applyFill="1" applyBorder="1" applyAlignment="1">
      <alignment horizontal="center" vertical="center" wrapText="1"/>
    </xf>
    <xf numFmtId="0" fontId="4" fillId="29" borderId="21" xfId="224" applyFont="1" applyFill="1" applyBorder="1" applyAlignment="1">
      <alignment horizontal="center" vertical="center" wrapText="1"/>
    </xf>
    <xf numFmtId="0" fontId="11" fillId="29" borderId="21" xfId="224" applyFont="1" applyFill="1" applyBorder="1" applyAlignment="1">
      <alignment horizontal="center" vertical="center" wrapText="1"/>
    </xf>
    <xf numFmtId="0" fontId="11" fillId="29" borderId="34" xfId="224" applyFont="1" applyFill="1" applyBorder="1" applyAlignment="1">
      <alignment horizontal="center" vertical="center" wrapText="1"/>
    </xf>
    <xf numFmtId="0" fontId="11" fillId="29" borderId="8" xfId="237" applyFont="1" applyFill="1" applyBorder="1" applyAlignment="1">
      <alignment horizontal="center" vertical="center" wrapText="1"/>
    </xf>
    <xf numFmtId="0" fontId="11" fillId="29" borderId="34" xfId="237" applyFont="1" applyFill="1" applyBorder="1" applyAlignment="1">
      <alignment horizontal="center" vertical="center" wrapText="1"/>
    </xf>
    <xf numFmtId="0" fontId="11" fillId="29" borderId="21" xfId="237" applyFont="1" applyFill="1" applyBorder="1" applyAlignment="1">
      <alignment horizontal="center" vertical="center" wrapText="1"/>
    </xf>
    <xf numFmtId="0" fontId="11" fillId="29" borderId="29" xfId="237" applyFont="1" applyFill="1" applyBorder="1" applyAlignment="1">
      <alignment vertical="center" wrapText="1"/>
    </xf>
    <xf numFmtId="0" fontId="11" fillId="29" borderId="33" xfId="237" applyFont="1" applyFill="1" applyBorder="1" applyAlignment="1">
      <alignment vertical="center" wrapText="1"/>
    </xf>
    <xf numFmtId="0" fontId="11" fillId="29" borderId="31" xfId="237" applyFont="1" applyFill="1" applyBorder="1" applyAlignment="1">
      <alignment horizontal="center" vertical="center" wrapText="1"/>
    </xf>
    <xf numFmtId="0" fontId="11" fillId="29" borderId="24" xfId="237" applyFont="1" applyFill="1" applyBorder="1" applyAlignment="1">
      <alignment horizontal="center" vertical="center" wrapText="1"/>
    </xf>
    <xf numFmtId="0" fontId="11" fillId="29" borderId="19" xfId="237" applyFont="1" applyFill="1" applyBorder="1" applyAlignment="1">
      <alignment horizontal="center" vertical="center" wrapText="1"/>
    </xf>
    <xf numFmtId="0" fontId="136" fillId="29" borderId="31" xfId="0" applyFont="1" applyFill="1" applyBorder="1" applyAlignment="1">
      <alignment horizontal="center"/>
    </xf>
    <xf numFmtId="0" fontId="136" fillId="29" borderId="29" xfId="0" applyFont="1" applyFill="1" applyBorder="1" applyAlignment="1">
      <alignment horizontal="center"/>
    </xf>
    <xf numFmtId="0" fontId="136" fillId="29" borderId="32" xfId="0" applyFont="1" applyFill="1" applyBorder="1" applyAlignment="1">
      <alignment horizontal="center"/>
    </xf>
    <xf numFmtId="0" fontId="136" fillId="29" borderId="33" xfId="0" applyFont="1" applyFill="1" applyBorder="1" applyAlignment="1">
      <alignment horizontal="center"/>
    </xf>
    <xf numFmtId="0" fontId="136" fillId="29" borderId="28" xfId="0" applyFont="1" applyFill="1" applyBorder="1" applyAlignment="1">
      <alignment horizontal="center"/>
    </xf>
    <xf numFmtId="0" fontId="136" fillId="29" borderId="30" xfId="0" applyFont="1" applyFill="1" applyBorder="1" applyAlignment="1">
      <alignment horizontal="center"/>
    </xf>
    <xf numFmtId="0" fontId="11" fillId="29" borderId="29" xfId="237" applyFont="1" applyFill="1" applyBorder="1" applyAlignment="1">
      <alignment horizontal="left" vertical="center" wrapText="1"/>
    </xf>
    <xf numFmtId="0" fontId="11" fillId="29" borderId="33" xfId="237" applyFont="1" applyFill="1" applyBorder="1" applyAlignment="1">
      <alignment horizontal="left" vertical="center" wrapText="1"/>
    </xf>
    <xf numFmtId="0" fontId="120" fillId="29" borderId="31" xfId="237" applyFont="1" applyFill="1" applyBorder="1" applyAlignment="1">
      <alignment horizontal="center"/>
    </xf>
    <xf numFmtId="0" fontId="120" fillId="29" borderId="29" xfId="237" applyFont="1" applyFill="1" applyBorder="1" applyAlignment="1">
      <alignment horizontal="center"/>
    </xf>
    <xf numFmtId="0" fontId="120" fillId="29" borderId="32" xfId="237" applyFont="1" applyFill="1" applyBorder="1" applyAlignment="1">
      <alignment horizontal="center"/>
    </xf>
    <xf numFmtId="0" fontId="120" fillId="29" borderId="33" xfId="237" applyFont="1" applyFill="1" applyBorder="1" applyAlignment="1">
      <alignment horizontal="center"/>
    </xf>
    <xf numFmtId="0" fontId="120" fillId="29" borderId="28" xfId="237" applyFont="1" applyFill="1" applyBorder="1" applyAlignment="1">
      <alignment horizontal="center"/>
    </xf>
    <xf numFmtId="0" fontId="120" fillId="29" borderId="30" xfId="237" applyFont="1" applyFill="1" applyBorder="1" applyAlignment="1">
      <alignment horizontal="center"/>
    </xf>
    <xf numFmtId="0" fontId="51" fillId="29" borderId="19" xfId="237" applyFont="1" applyFill="1" applyBorder="1" applyAlignment="1">
      <alignment horizontal="center" vertical="center" wrapText="1"/>
    </xf>
    <xf numFmtId="0" fontId="51" fillId="29" borderId="25" xfId="237" applyFont="1" applyFill="1" applyBorder="1" applyAlignment="1">
      <alignment horizontal="center" vertical="center" wrapText="1"/>
    </xf>
    <xf numFmtId="0" fontId="51" fillId="29" borderId="24" xfId="237" applyFont="1" applyFill="1" applyBorder="1" applyAlignment="1">
      <alignment horizontal="center" vertical="center" wrapText="1"/>
    </xf>
    <xf numFmtId="0" fontId="11" fillId="29" borderId="8" xfId="237" applyFont="1" applyFill="1" applyBorder="1" applyAlignment="1">
      <alignment horizontal="center" vertical="center"/>
    </xf>
    <xf numFmtId="0" fontId="11" fillId="29" borderId="34" xfId="237" applyFont="1" applyFill="1" applyBorder="1" applyAlignment="1">
      <alignment horizontal="center" vertical="center"/>
    </xf>
    <xf numFmtId="0" fontId="11" fillId="29" borderId="21" xfId="237" applyFont="1" applyFill="1" applyBorder="1" applyAlignment="1">
      <alignment horizontal="center" vertical="center"/>
    </xf>
    <xf numFmtId="0" fontId="11" fillId="29" borderId="19" xfId="224" applyFont="1" applyFill="1" applyBorder="1" applyAlignment="1">
      <alignment horizontal="center" textRotation="90" wrapText="1"/>
    </xf>
    <xf numFmtId="0" fontId="11" fillId="29" borderId="24" xfId="224" applyFont="1" applyFill="1" applyBorder="1" applyAlignment="1">
      <alignment horizontal="center" textRotation="90" wrapText="1"/>
    </xf>
    <xf numFmtId="0" fontId="84" fillId="29" borderId="34" xfId="0" applyFont="1" applyFill="1" applyBorder="1" applyAlignment="1">
      <alignment horizontal="center" vertical="center" wrapText="1"/>
    </xf>
    <xf numFmtId="0" fontId="84" fillId="29" borderId="21" xfId="0" applyFont="1" applyFill="1" applyBorder="1" applyAlignment="1">
      <alignment horizontal="center" vertical="center" wrapText="1"/>
    </xf>
    <xf numFmtId="0" fontId="84" fillId="29" borderId="7" xfId="0" applyFont="1" applyFill="1" applyBorder="1" applyAlignment="1">
      <alignment horizontal="center" vertical="center" wrapText="1"/>
    </xf>
    <xf numFmtId="0" fontId="8" fillId="29" borderId="8" xfId="0" applyFont="1" applyFill="1" applyBorder="1" applyAlignment="1">
      <alignment horizontal="center"/>
    </xf>
    <xf numFmtId="0" fontId="8" fillId="29" borderId="34" xfId="0" applyFont="1" applyFill="1" applyBorder="1" applyAlignment="1">
      <alignment horizontal="center"/>
    </xf>
    <xf numFmtId="0" fontId="8" fillId="29" borderId="21" xfId="0" applyFont="1" applyFill="1" applyBorder="1" applyAlignment="1">
      <alignment horizontal="center"/>
    </xf>
    <xf numFmtId="0" fontId="4" fillId="29" borderId="24" xfId="0" applyFont="1" applyFill="1" applyBorder="1" applyAlignment="1">
      <alignment horizontal="center" textRotation="90" wrapText="1"/>
    </xf>
    <xf numFmtId="0" fontId="5" fillId="29" borderId="19" xfId="224" applyFont="1" applyFill="1" applyBorder="1" applyAlignment="1">
      <alignment horizontal="center" vertical="center" wrapText="1"/>
    </xf>
    <xf numFmtId="0" fontId="11" fillId="29" borderId="34" xfId="224" applyFont="1" applyFill="1" applyBorder="1" applyAlignment="1">
      <alignment horizontal="center" vertical="top"/>
    </xf>
    <xf numFmtId="0" fontId="11" fillId="29" borderId="21" xfId="224" applyFont="1" applyFill="1" applyBorder="1" applyAlignment="1">
      <alignment horizontal="center" vertical="top"/>
    </xf>
    <xf numFmtId="0" fontId="11" fillId="29" borderId="33" xfId="224" applyFont="1" applyFill="1" applyBorder="1" applyAlignment="1">
      <alignment horizontal="center" vertical="center" wrapText="1"/>
    </xf>
    <xf numFmtId="0" fontId="11" fillId="29" borderId="8" xfId="224" applyFont="1" applyFill="1" applyBorder="1" applyAlignment="1">
      <alignment horizontal="center" wrapText="1"/>
    </xf>
    <xf numFmtId="0" fontId="11" fillId="29" borderId="21" xfId="224" applyFont="1" applyFill="1" applyBorder="1" applyAlignment="1">
      <alignment horizontal="center"/>
    </xf>
    <xf numFmtId="0" fontId="121" fillId="0" borderId="0" xfId="224" applyFont="1" applyBorder="1" applyAlignment="1">
      <alignment horizontal="left" vertical="top" wrapText="1"/>
    </xf>
    <xf numFmtId="0" fontId="11" fillId="29" borderId="8" xfId="224" applyFont="1" applyFill="1" applyBorder="1" applyAlignment="1">
      <alignment horizontal="center" vertical="center"/>
    </xf>
    <xf numFmtId="0" fontId="120" fillId="0" borderId="14" xfId="224" applyFont="1" applyFill="1" applyBorder="1" applyAlignment="1">
      <alignment horizontal="left" vertical="top" wrapText="1"/>
    </xf>
    <xf numFmtId="0" fontId="121" fillId="0" borderId="0" xfId="224" applyFont="1" applyAlignment="1">
      <alignment horizontal="center" vertical="top" wrapText="1"/>
    </xf>
    <xf numFmtId="0" fontId="4" fillId="29" borderId="34" xfId="0" applyFont="1" applyFill="1" applyBorder="1" applyAlignment="1">
      <alignment horizontal="center" vertical="center" wrapText="1"/>
    </xf>
    <xf numFmtId="0" fontId="4" fillId="29" borderId="21" xfId="0" applyFont="1" applyFill="1" applyBorder="1" applyAlignment="1">
      <alignment horizontal="center" vertical="center" wrapText="1"/>
    </xf>
    <xf numFmtId="0" fontId="11" fillId="29" borderId="31" xfId="0" applyFont="1" applyFill="1" applyBorder="1" applyAlignment="1">
      <alignment horizontal="center" vertical="center" wrapText="1"/>
    </xf>
    <xf numFmtId="0" fontId="11" fillId="29" borderId="14" xfId="0" applyFont="1" applyFill="1" applyBorder="1" applyAlignment="1">
      <alignment horizontal="center" vertical="center" wrapText="1"/>
    </xf>
    <xf numFmtId="0" fontId="11" fillId="29" borderId="29" xfId="0" applyFont="1" applyFill="1" applyBorder="1" applyAlignment="1">
      <alignment horizontal="center" vertical="center" wrapText="1"/>
    </xf>
    <xf numFmtId="0" fontId="121" fillId="0" borderId="14" xfId="224" applyFont="1" applyFill="1" applyBorder="1" applyAlignment="1">
      <alignment horizontal="center" vertical="top" wrapText="1"/>
    </xf>
    <xf numFmtId="0" fontId="4" fillId="29" borderId="33" xfId="224" applyFont="1" applyFill="1" applyBorder="1" applyAlignment="1">
      <alignment horizontal="center" vertical="center" wrapText="1"/>
    </xf>
    <xf numFmtId="0" fontId="11" fillId="29" borderId="8" xfId="224" applyFont="1" applyFill="1" applyBorder="1" applyAlignment="1">
      <alignment horizontal="center"/>
    </xf>
    <xf numFmtId="0" fontId="11" fillId="29" borderId="34" xfId="224" applyFont="1" applyFill="1" applyBorder="1" applyAlignment="1">
      <alignment horizontal="center"/>
    </xf>
    <xf numFmtId="0" fontId="4" fillId="29" borderId="25" xfId="0" applyFont="1" applyFill="1" applyBorder="1" applyAlignment="1">
      <alignment horizontal="center" wrapText="1"/>
    </xf>
    <xf numFmtId="0" fontId="11" fillId="29" borderId="8" xfId="249" applyFont="1" applyFill="1" applyBorder="1" applyAlignment="1">
      <alignment horizontal="center"/>
    </xf>
    <xf numFmtId="0" fontId="0" fillId="29" borderId="21" xfId="0" applyFill="1" applyBorder="1" applyAlignment="1">
      <alignment horizontal="center"/>
    </xf>
    <xf numFmtId="0" fontId="11" fillId="29" borderId="19" xfId="249" applyFont="1" applyFill="1" applyBorder="1" applyAlignment="1">
      <alignment horizontal="center" vertical="center" wrapText="1"/>
    </xf>
    <xf numFmtId="0" fontId="11" fillId="29" borderId="24" xfId="249" applyFont="1" applyFill="1" applyBorder="1" applyAlignment="1">
      <alignment horizontal="center" vertical="center" wrapText="1"/>
    </xf>
    <xf numFmtId="0" fontId="121" fillId="0" borderId="0" xfId="224" applyFont="1"/>
    <xf numFmtId="0" fontId="99" fillId="0" borderId="0" xfId="224" applyFont="1" applyFill="1" applyBorder="1" applyAlignment="1">
      <alignment horizontal="right" wrapText="1"/>
    </xf>
    <xf numFmtId="0" fontId="121" fillId="0" borderId="14" xfId="224" applyFont="1" applyBorder="1"/>
    <xf numFmtId="0" fontId="76" fillId="29" borderId="19" xfId="0" applyFont="1" applyFill="1" applyBorder="1" applyAlignment="1">
      <alignment horizontal="center" vertical="center" wrapText="1"/>
    </xf>
    <xf numFmtId="0" fontId="76" fillId="29" borderId="25" xfId="0" applyFont="1" applyFill="1" applyBorder="1" applyAlignment="1">
      <alignment horizontal="center" vertical="center" wrapText="1"/>
    </xf>
    <xf numFmtId="0" fontId="76" fillId="29" borderId="24" xfId="0" applyFont="1" applyFill="1" applyBorder="1" applyAlignment="1">
      <alignment horizontal="center" vertical="center" wrapText="1"/>
    </xf>
    <xf numFmtId="0" fontId="75" fillId="29" borderId="31" xfId="255" applyFont="1" applyFill="1" applyBorder="1" applyAlignment="1">
      <alignment horizontal="center" vertical="center" wrapText="1"/>
    </xf>
    <xf numFmtId="0" fontId="75" fillId="29" borderId="24" xfId="255" applyFont="1" applyFill="1" applyBorder="1" applyAlignment="1">
      <alignment horizontal="center" vertical="center" wrapText="1"/>
    </xf>
    <xf numFmtId="0" fontId="75" fillId="29" borderId="19" xfId="255" applyFont="1" applyFill="1" applyBorder="1" applyAlignment="1">
      <alignment horizontal="center" vertical="center" wrapText="1"/>
    </xf>
    <xf numFmtId="0" fontId="75" fillId="29" borderId="31" xfId="0" applyFont="1" applyFill="1" applyBorder="1" applyAlignment="1">
      <alignment horizontal="center" vertical="center" wrapText="1"/>
    </xf>
    <xf numFmtId="0" fontId="75" fillId="29" borderId="24" xfId="0" applyFont="1" applyFill="1" applyBorder="1" applyAlignment="1">
      <alignment horizontal="center" vertical="center" wrapText="1"/>
    </xf>
    <xf numFmtId="0" fontId="75" fillId="29" borderId="31" xfId="224" applyFont="1" applyFill="1" applyBorder="1" applyAlignment="1">
      <alignment horizontal="center" vertical="center" wrapText="1"/>
    </xf>
    <xf numFmtId="0" fontId="75" fillId="29" borderId="28" xfId="224" applyFont="1" applyFill="1" applyBorder="1" applyAlignment="1">
      <alignment horizontal="center" vertical="center" wrapText="1"/>
    </xf>
    <xf numFmtId="0" fontId="75" fillId="29" borderId="19" xfId="0" applyFont="1" applyFill="1" applyBorder="1" applyAlignment="1">
      <alignment horizontal="center" vertical="center" wrapText="1"/>
    </xf>
    <xf numFmtId="0" fontId="121" fillId="0" borderId="0" xfId="221" applyFont="1" applyFill="1" applyAlignment="1">
      <alignment horizontal="left" vertical="top"/>
    </xf>
    <xf numFmtId="0" fontId="10" fillId="29" borderId="34" xfId="224" applyFont="1" applyFill="1" applyBorder="1" applyAlignment="1">
      <alignment horizontal="center" vertical="top" wrapText="1"/>
    </xf>
    <xf numFmtId="0" fontId="10" fillId="29" borderId="21" xfId="224" applyFont="1" applyFill="1" applyBorder="1" applyAlignment="1">
      <alignment horizontal="center" vertical="top" wrapText="1"/>
    </xf>
    <xf numFmtId="0" fontId="51" fillId="29" borderId="29" xfId="224" applyFont="1" applyFill="1" applyBorder="1" applyAlignment="1">
      <alignment horizontal="left" vertical="center" wrapText="1"/>
    </xf>
    <xf numFmtId="0" fontId="51" fillId="29" borderId="33" xfId="224" applyFont="1" applyFill="1" applyBorder="1" applyAlignment="1">
      <alignment horizontal="left" vertical="center" wrapText="1"/>
    </xf>
    <xf numFmtId="0" fontId="121" fillId="0" borderId="0" xfId="221" applyFont="1" applyFill="1" applyBorder="1" applyAlignment="1">
      <alignment horizontal="left" vertical="top"/>
    </xf>
    <xf numFmtId="0" fontId="10" fillId="29" borderId="8" xfId="224" applyFont="1" applyFill="1" applyBorder="1" applyAlignment="1">
      <alignment horizontal="center" vertical="top" wrapText="1"/>
    </xf>
    <xf numFmtId="0" fontId="11" fillId="29" borderId="8" xfId="249" applyFont="1" applyFill="1" applyBorder="1" applyAlignment="1">
      <alignment horizontal="center" vertical="center"/>
    </xf>
    <xf numFmtId="0" fontId="11" fillId="29" borderId="34" xfId="249" applyFont="1" applyFill="1" applyBorder="1" applyAlignment="1">
      <alignment horizontal="center" vertical="center"/>
    </xf>
    <xf numFmtId="0" fontId="11" fillId="29" borderId="21" xfId="249" applyFont="1" applyFill="1" applyBorder="1" applyAlignment="1">
      <alignment horizontal="center" vertical="center"/>
    </xf>
    <xf numFmtId="0" fontId="11" fillId="29" borderId="33" xfId="224" applyFont="1" applyFill="1" applyBorder="1" applyAlignment="1">
      <alignment horizontal="left" vertical="center" wrapText="1"/>
    </xf>
    <xf numFmtId="0" fontId="11" fillId="29" borderId="14" xfId="224" applyFont="1" applyFill="1" applyBorder="1" applyAlignment="1">
      <alignment horizontal="center" vertical="center"/>
    </xf>
    <xf numFmtId="0" fontId="11" fillId="29" borderId="29" xfId="224" applyFont="1" applyFill="1" applyBorder="1" applyAlignment="1">
      <alignment horizontal="center" vertical="center"/>
    </xf>
    <xf numFmtId="0" fontId="47" fillId="29" borderId="24" xfId="224" applyFont="1" applyFill="1" applyBorder="1" applyAlignment="1">
      <alignment horizontal="center" vertical="center" wrapText="1"/>
    </xf>
    <xf numFmtId="0" fontId="11" fillId="29" borderId="33" xfId="224" applyFont="1" applyFill="1" applyBorder="1" applyAlignment="1">
      <alignment horizontal="center"/>
    </xf>
    <xf numFmtId="0" fontId="11" fillId="29" borderId="34" xfId="224" applyFont="1" applyFill="1" applyBorder="1" applyAlignment="1">
      <alignment horizontal="center" wrapText="1"/>
    </xf>
    <xf numFmtId="0" fontId="11" fillId="29" borderId="21" xfId="224" applyFont="1" applyFill="1" applyBorder="1" applyAlignment="1">
      <alignment horizontal="center" wrapText="1"/>
    </xf>
    <xf numFmtId="0" fontId="51" fillId="29" borderId="19" xfId="249" applyFont="1" applyFill="1" applyBorder="1" applyAlignment="1">
      <alignment horizontal="center" vertical="center" wrapText="1"/>
    </xf>
    <xf numFmtId="0" fontId="51" fillId="29" borderId="25" xfId="249" applyFont="1" applyFill="1" applyBorder="1" applyAlignment="1">
      <alignment horizontal="center" vertical="center" wrapText="1"/>
    </xf>
    <xf numFmtId="0" fontId="51" fillId="29" borderId="24" xfId="249" applyFont="1" applyFill="1" applyBorder="1" applyAlignment="1">
      <alignment horizontal="center" vertical="center" wrapText="1"/>
    </xf>
    <xf numFmtId="0" fontId="105" fillId="29" borderId="7" xfId="224" applyFont="1" applyFill="1" applyBorder="1" applyAlignment="1">
      <alignment horizontal="center" textRotation="90" wrapText="1"/>
    </xf>
    <xf numFmtId="0" fontId="4" fillId="29" borderId="7" xfId="224" applyFont="1" applyFill="1" applyBorder="1" applyAlignment="1">
      <alignment horizontal="center" wrapText="1"/>
    </xf>
    <xf numFmtId="0" fontId="105" fillId="29" borderId="29" xfId="224" applyFont="1" applyFill="1" applyBorder="1" applyAlignment="1">
      <alignment horizontal="left" vertical="center"/>
    </xf>
    <xf numFmtId="0" fontId="105" fillId="29" borderId="33" xfId="224" applyFont="1" applyFill="1" applyBorder="1" applyAlignment="1">
      <alignment horizontal="left" vertical="center"/>
    </xf>
    <xf numFmtId="0" fontId="106" fillId="29" borderId="19" xfId="221" applyFont="1" applyFill="1" applyBorder="1" applyAlignment="1">
      <alignment horizontal="center" vertical="center" wrapText="1"/>
    </xf>
    <xf numFmtId="0" fontId="106" fillId="29" borderId="25" xfId="221" applyFont="1" applyFill="1" applyBorder="1" applyAlignment="1">
      <alignment horizontal="center" vertical="center" wrapText="1"/>
    </xf>
    <xf numFmtId="0" fontId="106" fillId="29" borderId="24" xfId="221" applyFont="1" applyFill="1" applyBorder="1" applyAlignment="1">
      <alignment horizontal="center" vertical="center" wrapText="1"/>
    </xf>
    <xf numFmtId="0" fontId="105" fillId="29" borderId="7" xfId="224" applyFont="1" applyFill="1" applyBorder="1" applyAlignment="1">
      <alignment horizontal="center" vertical="center" wrapText="1"/>
    </xf>
    <xf numFmtId="0" fontId="105" fillId="29" borderId="7" xfId="224" applyFont="1" applyFill="1" applyBorder="1" applyAlignment="1" applyProtection="1">
      <alignment horizontal="center" textRotation="90" wrapText="1"/>
    </xf>
    <xf numFmtId="0" fontId="4" fillId="29" borderId="7" xfId="224" applyFont="1" applyFill="1" applyBorder="1" applyAlignment="1" applyProtection="1">
      <alignment horizontal="center" wrapText="1"/>
    </xf>
    <xf numFmtId="0" fontId="64" fillId="29" borderId="7" xfId="224" applyFont="1" applyFill="1" applyBorder="1" applyAlignment="1">
      <alignment horizontal="center" wrapText="1"/>
    </xf>
    <xf numFmtId="14" fontId="10" fillId="49" borderId="7" xfId="0" applyNumberFormat="1" applyFont="1" applyFill="1" applyBorder="1" applyAlignment="1" applyProtection="1">
      <protection locked="0"/>
    </xf>
  </cellXfs>
  <cellStyles count="296">
    <cellStyle name="=C:\WINNT35\SYSTEM32\COMMAND.COM" xfId="1"/>
    <cellStyle name="20% - 1. jelölőszín" xfId="2"/>
    <cellStyle name="20% - 1. jelölőszín 2" xfId="3"/>
    <cellStyle name="20% - 1. jelölőszín 2 2" xfId="4"/>
    <cellStyle name="20% - 1. jelölőszín 3" xfId="5"/>
    <cellStyle name="20% - 1. jelölőszín_20130128_ITS on reporting_Annex I_CA" xfId="6"/>
    <cellStyle name="20% - 2. jelölőszín" xfId="7"/>
    <cellStyle name="20% - 2. jelölőszín 2" xfId="8"/>
    <cellStyle name="20% - 2. jelölőszín 2 2" xfId="9"/>
    <cellStyle name="20% - 2. jelölőszín 3" xfId="10"/>
    <cellStyle name="20% - 2. jelölőszín_20130128_ITS on reporting_Annex I_CA" xfId="11"/>
    <cellStyle name="20% - 3. jelölőszín" xfId="12"/>
    <cellStyle name="20% - 3. jelölőszín 2" xfId="13"/>
    <cellStyle name="20% - 3. jelölőszín 2 2" xfId="14"/>
    <cellStyle name="20% - 3. jelölőszín 3" xfId="15"/>
    <cellStyle name="20% - 3. jelölőszín_20130128_ITS on reporting_Annex I_CA" xfId="16"/>
    <cellStyle name="20% - 4. jelölőszín" xfId="17"/>
    <cellStyle name="20% - 4. jelölőszín 2" xfId="18"/>
    <cellStyle name="20% - 4. jelölőszín 2 2" xfId="19"/>
    <cellStyle name="20% - 4. jelölőszín 3" xfId="20"/>
    <cellStyle name="20% - 4. jelölőszín_20130128_ITS on reporting_Annex I_CA" xfId="21"/>
    <cellStyle name="20% - 5. jelölőszín" xfId="22"/>
    <cellStyle name="20% - 5. jelölőszín 2" xfId="23"/>
    <cellStyle name="20% - 5. jelölőszín 2 2" xfId="24"/>
    <cellStyle name="20% - 5. jelölőszín 3" xfId="25"/>
    <cellStyle name="20% - 5. jelölőszín_20130128_ITS on reporting_Annex I_CA" xfId="26"/>
    <cellStyle name="20% - 6. jelölőszín" xfId="27"/>
    <cellStyle name="20% - 6. jelölőszín 2" xfId="28"/>
    <cellStyle name="20% - 6. jelölőszín 2 2" xfId="29"/>
    <cellStyle name="20% - 6. jelölőszín 3" xfId="30"/>
    <cellStyle name="20% - 6. jelölőszín_20130128_ITS on reporting_Annex I_CA" xfId="31"/>
    <cellStyle name="20% - Accent1" xfId="32"/>
    <cellStyle name="20% - Accent1 2" xfId="33"/>
    <cellStyle name="20% - Accent2" xfId="34"/>
    <cellStyle name="20% - Accent2 2" xfId="35"/>
    <cellStyle name="20% - Accent3" xfId="36"/>
    <cellStyle name="20% - Accent3 2" xfId="37"/>
    <cellStyle name="20% - Accent4" xfId="38"/>
    <cellStyle name="20% - Accent4 2" xfId="39"/>
    <cellStyle name="20% - Accent5" xfId="40"/>
    <cellStyle name="20% - Accent5 2" xfId="41"/>
    <cellStyle name="20% - Accent6" xfId="42"/>
    <cellStyle name="20% - Accent6 2" xfId="43"/>
    <cellStyle name="20% - Énfasis1" xfId="44"/>
    <cellStyle name="20% - Énfasis1 2" xfId="45"/>
    <cellStyle name="20% - Énfasis2" xfId="46"/>
    <cellStyle name="20% - Énfasis2 2" xfId="47"/>
    <cellStyle name="20% - Énfasis3" xfId="48"/>
    <cellStyle name="20% - Énfasis3 2" xfId="49"/>
    <cellStyle name="20% - Énfasis4" xfId="50"/>
    <cellStyle name="20% - Énfasis4 2" xfId="51"/>
    <cellStyle name="20% - Énfasis5" xfId="52"/>
    <cellStyle name="20% - Énfasis5 2" xfId="53"/>
    <cellStyle name="20% - Énfasis6" xfId="54"/>
    <cellStyle name="20% - Énfasis6 2" xfId="55"/>
    <cellStyle name="40% - 1. jelölőszín" xfId="56"/>
    <cellStyle name="40% - 1. jelölőszín 2" xfId="57"/>
    <cellStyle name="40% - 1. jelölőszín 2 2" xfId="58"/>
    <cellStyle name="40% - 1. jelölőszín 3" xfId="59"/>
    <cellStyle name="40% - 1. jelölőszín_20130128_ITS on reporting_Annex I_CA" xfId="60"/>
    <cellStyle name="40% - 2. jelölőszín" xfId="61"/>
    <cellStyle name="40% - 2. jelölőszín 2" xfId="62"/>
    <cellStyle name="40% - 2. jelölőszín 2 2" xfId="63"/>
    <cellStyle name="40% - 2. jelölőszín 3" xfId="64"/>
    <cellStyle name="40% - 2. jelölőszín_20130128_ITS on reporting_Annex I_CA" xfId="65"/>
    <cellStyle name="40% - 3. jelölőszín" xfId="66"/>
    <cellStyle name="40% - 3. jelölőszín 2" xfId="67"/>
    <cellStyle name="40% - 3. jelölőszín 2 2" xfId="68"/>
    <cellStyle name="40% - 3. jelölőszín 3" xfId="69"/>
    <cellStyle name="40% - 3. jelölőszín_20130128_ITS on reporting_Annex I_CA" xfId="70"/>
    <cellStyle name="40% - 4. jelölőszín" xfId="71"/>
    <cellStyle name="40% - 4. jelölőszín 2" xfId="72"/>
    <cellStyle name="40% - 4. jelölőszín 2 2" xfId="73"/>
    <cellStyle name="40% - 4. jelölőszín 3" xfId="74"/>
    <cellStyle name="40% - 4. jelölőszín_20130128_ITS on reporting_Annex I_CA" xfId="75"/>
    <cellStyle name="40% - 5. jelölőszín" xfId="76"/>
    <cellStyle name="40% - 5. jelölőszín 2" xfId="77"/>
    <cellStyle name="40% - 5. jelölőszín 2 2" xfId="78"/>
    <cellStyle name="40% - 5. jelölőszín 3" xfId="79"/>
    <cellStyle name="40% - 5. jelölőszín_20130128_ITS on reporting_Annex I_CA" xfId="80"/>
    <cellStyle name="40% - 6. jelölőszín" xfId="81"/>
    <cellStyle name="40% - 6. jelölőszín 2" xfId="82"/>
    <cellStyle name="40% - 6. jelölőszín 2 2" xfId="83"/>
    <cellStyle name="40% - 6. jelölőszín 3" xfId="84"/>
    <cellStyle name="40% - 6. jelölőszín_20130128_ITS on reporting_Annex I_CA" xfId="85"/>
    <cellStyle name="40% - Accent1" xfId="86"/>
    <cellStyle name="40% - Accent1 2" xfId="87"/>
    <cellStyle name="40% - Accent2" xfId="88"/>
    <cellStyle name="40% - Accent2 2" xfId="89"/>
    <cellStyle name="40% - Accent3" xfId="90"/>
    <cellStyle name="40% - Accent3 2" xfId="91"/>
    <cellStyle name="40% - Accent4" xfId="92"/>
    <cellStyle name="40% - Accent4 2" xfId="93"/>
    <cellStyle name="40% - Accent5" xfId="94"/>
    <cellStyle name="40% - Accent5 2" xfId="95"/>
    <cellStyle name="40% - Accent6" xfId="96"/>
    <cellStyle name="40% - Accent6 2" xfId="97"/>
    <cellStyle name="40% - Énfasis1" xfId="98"/>
    <cellStyle name="40% - Énfasis1 2" xfId="99"/>
    <cellStyle name="40% - Énfasis2" xfId="100"/>
    <cellStyle name="40% - Énfasis2 2" xfId="101"/>
    <cellStyle name="40% - Énfasis3" xfId="102"/>
    <cellStyle name="40% - Énfasis3 2" xfId="103"/>
    <cellStyle name="40% - Énfasis4" xfId="104"/>
    <cellStyle name="40% - Énfasis4 2" xfId="105"/>
    <cellStyle name="40% - Énfasis5" xfId="106"/>
    <cellStyle name="40% - Énfasis5 2" xfId="107"/>
    <cellStyle name="40% - Énfasis6" xfId="108"/>
    <cellStyle name="40% - Énfasis6 2" xfId="109"/>
    <cellStyle name="60% - 1. jelölőszín" xfId="110"/>
    <cellStyle name="60% - 2. jelölőszín" xfId="111"/>
    <cellStyle name="60% - 3. jelölőszín" xfId="112"/>
    <cellStyle name="60% - 4. jelölőszín" xfId="113"/>
    <cellStyle name="60% - 5. jelölőszín" xfId="114"/>
    <cellStyle name="60% - 6. jelölőszín" xfId="115"/>
    <cellStyle name="60% - Accent1" xfId="116"/>
    <cellStyle name="60% - Accent1 2" xfId="117"/>
    <cellStyle name="60% - Accent2" xfId="118"/>
    <cellStyle name="60% - Accent2 2" xfId="119"/>
    <cellStyle name="60% - Accent3" xfId="120"/>
    <cellStyle name="60% - Accent3 2" xfId="121"/>
    <cellStyle name="60% - Accent4" xfId="122"/>
    <cellStyle name="60% - Accent4 2" xfId="123"/>
    <cellStyle name="60% - Accent5" xfId="124"/>
    <cellStyle name="60% - Accent5 2" xfId="125"/>
    <cellStyle name="60% - Accent6" xfId="126"/>
    <cellStyle name="60% - Accent6 2" xfId="127"/>
    <cellStyle name="60% - Énfasis1" xfId="128"/>
    <cellStyle name="60% - Énfasis2" xfId="129"/>
    <cellStyle name="60% - Énfasis3" xfId="130"/>
    <cellStyle name="60% - Énfasis4" xfId="131"/>
    <cellStyle name="60% - Énfasis5" xfId="132"/>
    <cellStyle name="60% - Énfasis6" xfId="133"/>
    <cellStyle name="Accent1" xfId="134"/>
    <cellStyle name="Accent1 2" xfId="135"/>
    <cellStyle name="Accent2" xfId="136"/>
    <cellStyle name="Accent2 2" xfId="137"/>
    <cellStyle name="Accent3" xfId="138"/>
    <cellStyle name="Accent3 2" xfId="139"/>
    <cellStyle name="Accent4" xfId="140"/>
    <cellStyle name="Accent4 2" xfId="141"/>
    <cellStyle name="Accent5" xfId="142"/>
    <cellStyle name="Accent5 2" xfId="143"/>
    <cellStyle name="Accent6" xfId="144"/>
    <cellStyle name="Accent6 2" xfId="145"/>
    <cellStyle name="Bad" xfId="146"/>
    <cellStyle name="Bad 2" xfId="147"/>
    <cellStyle name="Bevitel" xfId="148"/>
    <cellStyle name="Buena" xfId="149"/>
    <cellStyle name="Calculation" xfId="150"/>
    <cellStyle name="Calculation 2" xfId="151"/>
    <cellStyle name="Cálculo" xfId="152"/>
    <cellStyle name="Celda de comprobación" xfId="153"/>
    <cellStyle name="Celda vinculada" xfId="154"/>
    <cellStyle name="Check Cell" xfId="155"/>
    <cellStyle name="Check Cell 2" xfId="156"/>
    <cellStyle name="Cím" xfId="157"/>
    <cellStyle name="Címsor 1" xfId="158"/>
    <cellStyle name="Címsor 2" xfId="159"/>
    <cellStyle name="Címsor 3" xfId="160"/>
    <cellStyle name="Címsor 4" xfId="161"/>
    <cellStyle name="Comma" xfId="162" builtinId="3"/>
    <cellStyle name="Comma 2" xfId="163"/>
    <cellStyle name="Ellenőrzőcella" xfId="164"/>
    <cellStyle name="Encabezado 4" xfId="165"/>
    <cellStyle name="Énfasis1" xfId="166"/>
    <cellStyle name="Énfasis2" xfId="167"/>
    <cellStyle name="Énfasis3" xfId="168"/>
    <cellStyle name="Énfasis4" xfId="169"/>
    <cellStyle name="Énfasis5" xfId="170"/>
    <cellStyle name="Énfasis6" xfId="171"/>
    <cellStyle name="Entrada" xfId="172"/>
    <cellStyle name="Explanatory Text" xfId="173"/>
    <cellStyle name="Explanatory Text 2" xfId="174"/>
    <cellStyle name="Figyelmeztetés" xfId="175"/>
    <cellStyle name="Good" xfId="176"/>
    <cellStyle name="Good 2" xfId="177"/>
    <cellStyle name="greyed" xfId="178"/>
    <cellStyle name="Heading 1" xfId="179"/>
    <cellStyle name="Heading 1 2" xfId="180"/>
    <cellStyle name="Heading 2" xfId="181"/>
    <cellStyle name="Heading 2 2" xfId="182"/>
    <cellStyle name="Heading 3" xfId="183"/>
    <cellStyle name="Heading 3 2" xfId="184"/>
    <cellStyle name="Heading 4" xfId="185"/>
    <cellStyle name="Heading 4 2" xfId="186"/>
    <cellStyle name="highlightExposure" xfId="187"/>
    <cellStyle name="highlightText" xfId="188"/>
    <cellStyle name="Hipervínculo 2" xfId="189"/>
    <cellStyle name="Hivatkozott cella" xfId="190"/>
    <cellStyle name="Hyperlink 2" xfId="191"/>
    <cellStyle name="Hyperlink 3" xfId="192"/>
    <cellStyle name="Hyperlink 3 2" xfId="193"/>
    <cellStyle name="Incorrecto" xfId="194"/>
    <cellStyle name="Input" xfId="195"/>
    <cellStyle name="Input 2" xfId="196"/>
    <cellStyle name="inputExposure" xfId="197"/>
    <cellStyle name="Jegyzet" xfId="198"/>
    <cellStyle name="Jelölőszín (1)" xfId="199"/>
    <cellStyle name="Jelölőszín (2)" xfId="200"/>
    <cellStyle name="Jelölőszín (3)" xfId="201"/>
    <cellStyle name="Jelölőszín (4)" xfId="202"/>
    <cellStyle name="Jelölőszín (5)" xfId="203"/>
    <cellStyle name="Jelölőszín (6)" xfId="204"/>
    <cellStyle name="Jó" xfId="205"/>
    <cellStyle name="Kimenet" xfId="206"/>
    <cellStyle name="Lien hypertexte 2" xfId="207"/>
    <cellStyle name="Lien hypertexte 3" xfId="208"/>
    <cellStyle name="Linked Cell" xfId="209"/>
    <cellStyle name="Linked Cell 2" xfId="210"/>
    <cellStyle name="Magyarázó szöveg" xfId="211"/>
    <cellStyle name="Millares 2" xfId="212"/>
    <cellStyle name="Millares 2 2" xfId="213"/>
    <cellStyle name="Millares 3" xfId="214"/>
    <cellStyle name="Millares 3 2" xfId="215"/>
    <cellStyle name="Millares 3 2 2" xfId="216"/>
    <cellStyle name="Millares 3 3" xfId="217"/>
    <cellStyle name="Navadno_List1" xfId="218"/>
    <cellStyle name="Neutral" xfId="219" builtinId="28" customBuiltin="1"/>
    <cellStyle name="Neutral 2" xfId="220"/>
    <cellStyle name="Normal" xfId="0" builtinId="0"/>
    <cellStyle name="Normal 10" xfId="221"/>
    <cellStyle name="Normal 2" xfId="222"/>
    <cellStyle name="Normal 2 2" xfId="223"/>
    <cellStyle name="Normal 2 2 2" xfId="224"/>
    <cellStyle name="Normal 2 2 3" xfId="225"/>
    <cellStyle name="Normal 2 2 3 2" xfId="226"/>
    <cellStyle name="Normal 2 2_COREP GL04rev3" xfId="227"/>
    <cellStyle name="Normal 2 3" xfId="228"/>
    <cellStyle name="Normal 2 4" xfId="229"/>
    <cellStyle name="Normal 2 5" xfId="230"/>
    <cellStyle name="Normal 2 5 2" xfId="231"/>
    <cellStyle name="Normal 2 5 2 2" xfId="232"/>
    <cellStyle name="Normal 2 6" xfId="233"/>
    <cellStyle name="Normal 2 7" xfId="234"/>
    <cellStyle name="Normal 2_~0149226" xfId="235"/>
    <cellStyle name="Normal 2_~0149226 2" xfId="236"/>
    <cellStyle name="Normal 2_CEBS 2009 38 Annex 1 (CP06rev2 FINREP templates)" xfId="237"/>
    <cellStyle name="Normal 2_Tables_25_22" xfId="238"/>
    <cellStyle name="Normal 3" xfId="239"/>
    <cellStyle name="Normal 3 2" xfId="240"/>
    <cellStyle name="Normal 3 3" xfId="241"/>
    <cellStyle name="Normal 3 4" xfId="242"/>
    <cellStyle name="Normal 3 4 2" xfId="243"/>
    <cellStyle name="Normal 3 5" xfId="244"/>
    <cellStyle name="Normal 3_~1520012" xfId="245"/>
    <cellStyle name="Normal 4" xfId="246"/>
    <cellStyle name="Normal 4 2" xfId="247"/>
    <cellStyle name="Normal 5" xfId="248"/>
    <cellStyle name="Normal 5 2" xfId="249"/>
    <cellStyle name="Normal 5 3" xfId="250"/>
    <cellStyle name="Normal 5_20130128_ITS on reporting_Annex I_CA" xfId="251"/>
    <cellStyle name="Normal 6" xfId="252"/>
    <cellStyle name="Normal 7" xfId="253"/>
    <cellStyle name="Normal 7 2" xfId="254"/>
    <cellStyle name="Normal 8" xfId="255"/>
    <cellStyle name="Normal 8 2" xfId="256"/>
    <cellStyle name="Normal 9" xfId="257"/>
    <cellStyle name="Normal_Hedging derivatives" xfId="258"/>
    <cellStyle name="Normale_2011 04 14 Templates for stress test_bcl" xfId="259"/>
    <cellStyle name="Notas" xfId="260"/>
    <cellStyle name="Note" xfId="261"/>
    <cellStyle name="Note 2" xfId="262"/>
    <cellStyle name="Összesen" xfId="263"/>
    <cellStyle name="Output" xfId="264"/>
    <cellStyle name="Output 2" xfId="265"/>
    <cellStyle name="Percent 2" xfId="266"/>
    <cellStyle name="Porcentual 2" xfId="267"/>
    <cellStyle name="Porcentual 2 2" xfId="268"/>
    <cellStyle name="Porcentual 2 3" xfId="269"/>
    <cellStyle name="Prozent 2" xfId="270"/>
    <cellStyle name="Rossz" xfId="271"/>
    <cellStyle name="Salida" xfId="272"/>
    <cellStyle name="Semleges" xfId="273"/>
    <cellStyle name="showExposure" xfId="274"/>
    <cellStyle name="Standard 2" xfId="275"/>
    <cellStyle name="Standard 3" xfId="276"/>
    <cellStyle name="Standard 3 2" xfId="277"/>
    <cellStyle name="Standard 3 2 2" xfId="278"/>
    <cellStyle name="Standard 4" xfId="279"/>
    <cellStyle name="Standard 5" xfId="280"/>
    <cellStyle name="Standard_20100129_1559 Jentsch_COREP ON 20100129 COREP preliminary proposal_CR SA" xfId="281"/>
    <cellStyle name="Számítás" xfId="282"/>
    <cellStyle name="Texto de advertencia" xfId="283"/>
    <cellStyle name="Texto explicativo" xfId="284"/>
    <cellStyle name="Title" xfId="285"/>
    <cellStyle name="Title 2" xfId="286"/>
    <cellStyle name="Título" xfId="287"/>
    <cellStyle name="Título 1" xfId="288"/>
    <cellStyle name="Título 2" xfId="289"/>
    <cellStyle name="Título 3" xfId="290"/>
    <cellStyle name="Título_20091015 DE_Proposed amendments to CR SEC_MKR" xfId="291"/>
    <cellStyle name="Total" xfId="292" builtinId="25" customBuiltin="1"/>
    <cellStyle name="Total 2" xfId="293"/>
    <cellStyle name="Warning Text" xfId="294"/>
    <cellStyle name="Warning Text 2" xfId="295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Table Style 1" pivot="0" count="0"/>
  </tableStyles>
  <colors>
    <mruColors>
      <color rgb="FF8DAEE3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13</xdr:row>
      <xdr:rowOff>11076</xdr:rowOff>
    </xdr:from>
    <xdr:to>
      <xdr:col>6</xdr:col>
      <xdr:colOff>0</xdr:colOff>
      <xdr:row>14</xdr:row>
      <xdr:rowOff>22151</xdr:rowOff>
    </xdr:to>
    <xdr:cxnSp macro="">
      <xdr:nvCxnSpPr>
        <xdr:cNvPr id="3" name="Straight Connector 2"/>
        <xdr:cNvCxnSpPr/>
      </xdr:nvCxnSpPr>
      <xdr:spPr>
        <a:xfrm>
          <a:off x="7420640" y="1484128"/>
          <a:ext cx="0" cy="27688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Z112"/>
  <sheetViews>
    <sheetView showGridLines="0" tabSelected="1" topLeftCell="B5" zoomScaleNormal="100" zoomScaleSheetLayoutView="100" workbookViewId="0">
      <selection activeCell="D6" sqref="D6"/>
    </sheetView>
  </sheetViews>
  <sheetFormatPr defaultColWidth="5.140625" defaultRowHeight="18" customHeight="1"/>
  <cols>
    <col min="1" max="1" width="15.7109375" style="1155" hidden="1" customWidth="1"/>
    <col min="2" max="2" width="32.85546875" style="170" customWidth="1"/>
    <col min="3" max="3" width="14.28515625" style="169" customWidth="1"/>
    <col min="4" max="4" width="131.140625" style="170" bestFit="1" customWidth="1"/>
    <col min="5" max="5" width="15.7109375" style="1194" customWidth="1"/>
    <col min="6" max="16384" width="5.140625" style="170"/>
  </cols>
  <sheetData>
    <row r="1" spans="1:52" s="1126" customFormat="1" ht="18" hidden="1" customHeight="1">
      <c r="A1" s="1117" t="s">
        <v>1228</v>
      </c>
      <c r="B1" s="1118">
        <v>2</v>
      </c>
      <c r="C1" s="1118">
        <v>1</v>
      </c>
      <c r="D1" s="1119">
        <v>14</v>
      </c>
      <c r="E1" s="1182">
        <v>5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  <c r="AE1" s="1127"/>
    </row>
    <row r="2" spans="1:52" s="1131" customFormat="1" ht="18" hidden="1" customHeight="1">
      <c r="A2" s="1096" t="s">
        <v>2261</v>
      </c>
      <c r="B2" s="1128"/>
      <c r="C2" s="1129"/>
      <c r="D2" s="1130"/>
      <c r="E2" s="1183"/>
      <c r="F2" s="1130"/>
      <c r="G2" s="1130"/>
      <c r="H2" s="1130"/>
      <c r="I2" s="1130"/>
      <c r="J2" s="1130"/>
      <c r="K2" s="1130"/>
      <c r="L2" s="1130"/>
      <c r="M2" s="1130"/>
      <c r="N2" s="1130"/>
      <c r="O2" s="1130"/>
      <c r="P2" s="1130"/>
      <c r="Q2" s="1130"/>
      <c r="R2" s="1130"/>
      <c r="S2" s="1130"/>
      <c r="T2" s="1130"/>
      <c r="U2" s="1130"/>
      <c r="V2" s="1130"/>
      <c r="W2" s="1130"/>
      <c r="X2" s="1130"/>
      <c r="Y2" s="1130"/>
      <c r="Z2" s="1130"/>
      <c r="AA2" s="1130"/>
      <c r="AB2" s="1130"/>
      <c r="AC2" s="1130"/>
      <c r="AD2" s="1130"/>
      <c r="AE2" s="1130"/>
      <c r="AF2" s="1130"/>
      <c r="AG2" s="1130"/>
      <c r="AH2" s="1130"/>
      <c r="AI2" s="1130"/>
      <c r="AJ2" s="1130"/>
      <c r="AK2" s="1130"/>
      <c r="AL2" s="1130"/>
      <c r="AM2" s="1130"/>
      <c r="AN2" s="1130"/>
      <c r="AO2" s="1130"/>
      <c r="AP2" s="1130"/>
      <c r="AQ2" s="1130"/>
      <c r="AR2" s="1130"/>
      <c r="AS2" s="1130"/>
      <c r="AT2" s="1130"/>
      <c r="AU2" s="1130"/>
      <c r="AV2" s="1130"/>
      <c r="AW2" s="1130"/>
      <c r="AX2" s="1130"/>
      <c r="AY2" s="1130"/>
      <c r="AZ2" s="1130"/>
    </row>
    <row r="3" spans="1:52" s="1126" customFormat="1" ht="18" hidden="1" customHeight="1">
      <c r="A3" s="1117" t="str">
        <f>"R:A1:P"&amp;ROW(A16)+2</f>
        <v>R:A1:P18</v>
      </c>
      <c r="B3" s="1132"/>
      <c r="C3" s="1133"/>
      <c r="D3" s="1134">
        <f>D6</f>
        <v>0</v>
      </c>
      <c r="E3" s="1183"/>
      <c r="F3" s="1135"/>
      <c r="G3" s="1136"/>
      <c r="H3" s="1136"/>
      <c r="I3" s="1136"/>
      <c r="J3" s="1136"/>
      <c r="K3" s="1136"/>
      <c r="AE3" s="1127"/>
    </row>
    <row r="4" spans="1:52" s="1126" customFormat="1" ht="18" hidden="1" customHeight="1">
      <c r="A4" s="1117"/>
      <c r="B4" s="1132"/>
      <c r="C4" s="1133"/>
      <c r="D4" s="1137">
        <f>D7</f>
        <v>43465</v>
      </c>
      <c r="E4" s="1184" t="str">
        <f>D8</f>
        <v>Solo</v>
      </c>
      <c r="F4" s="1138"/>
      <c r="G4" s="1139">
        <f>E14</f>
        <v>0</v>
      </c>
      <c r="H4" s="1136"/>
      <c r="I4" s="1136"/>
      <c r="J4" s="1136"/>
      <c r="K4" s="1136"/>
      <c r="AE4" s="1127"/>
    </row>
    <row r="5" spans="1:52" s="1145" customFormat="1" ht="18" customHeight="1">
      <c r="A5" s="1140"/>
      <c r="B5" s="1141"/>
      <c r="C5" s="1142"/>
      <c r="D5" s="1143"/>
      <c r="E5" s="1185"/>
      <c r="F5" s="1144"/>
      <c r="AE5" s="1146"/>
    </row>
    <row r="6" spans="1:52" s="1149" customFormat="1" ht="18" customHeight="1">
      <c r="A6" s="1130" t="s">
        <v>718</v>
      </c>
      <c r="B6" s="1147" t="s">
        <v>719</v>
      </c>
      <c r="C6" s="1148"/>
      <c r="D6" s="1186"/>
      <c r="E6" s="1187"/>
      <c r="F6" s="1150"/>
      <c r="I6" s="1151"/>
      <c r="AE6" s="1152"/>
    </row>
    <row r="7" spans="1:52" s="1149" customFormat="1" ht="15.75" customHeight="1">
      <c r="A7" s="1130" t="s">
        <v>718</v>
      </c>
      <c r="B7" s="1153" t="s">
        <v>720</v>
      </c>
      <c r="C7" s="1154"/>
      <c r="D7" s="1188">
        <v>43465</v>
      </c>
      <c r="E7" s="1187"/>
      <c r="F7" s="1150"/>
      <c r="AE7" s="1152"/>
      <c r="AH7" s="1149" t="s">
        <v>721</v>
      </c>
    </row>
    <row r="8" spans="1:52" s="1149" customFormat="1" ht="16.5" customHeight="1">
      <c r="A8" s="1130" t="s">
        <v>718</v>
      </c>
      <c r="B8" s="1964" t="s">
        <v>722</v>
      </c>
      <c r="C8" s="1965"/>
      <c r="D8" s="1189" t="s">
        <v>721</v>
      </c>
      <c r="E8" s="1190"/>
      <c r="AE8" s="1152"/>
      <c r="AH8" s="1149" t="s">
        <v>723</v>
      </c>
    </row>
    <row r="9" spans="1:52" s="1191" customFormat="1" ht="12.75" customHeight="1">
      <c r="A9" s="1130" t="s">
        <v>718</v>
      </c>
      <c r="B9" s="1629" t="str">
        <f>A2&amp;"  ITS V2.8.1"</f>
        <v>V20181222  ITS V2.8.1</v>
      </c>
      <c r="E9" s="1192"/>
      <c r="F9" s="1193"/>
      <c r="G9" s="1193"/>
      <c r="H9" s="1193"/>
      <c r="I9" s="1193"/>
      <c r="J9" s="1193"/>
      <c r="K9" s="1193"/>
      <c r="L9" s="1193"/>
    </row>
    <row r="10" spans="1:52" ht="6.75" customHeight="1">
      <c r="A10" s="1130" t="s">
        <v>718</v>
      </c>
    </row>
    <row r="11" spans="1:52">
      <c r="A11" s="1130" t="s">
        <v>718</v>
      </c>
      <c r="B11" s="254" t="s">
        <v>2135</v>
      </c>
    </row>
    <row r="12" spans="1:52" ht="14.25" customHeight="1">
      <c r="A12" s="1130" t="s">
        <v>718</v>
      </c>
    </row>
    <row r="13" spans="1:52" ht="18" customHeight="1">
      <c r="A13" s="1130" t="s">
        <v>718</v>
      </c>
      <c r="B13" s="1966" t="s">
        <v>666</v>
      </c>
      <c r="C13" s="1967"/>
      <c r="D13" s="1968"/>
      <c r="E13" s="1195" t="s">
        <v>1229</v>
      </c>
    </row>
    <row r="14" spans="1:52" ht="21">
      <c r="A14" s="1130" t="s">
        <v>718</v>
      </c>
      <c r="B14" s="1196" t="s">
        <v>667</v>
      </c>
      <c r="C14" s="1196" t="s">
        <v>665</v>
      </c>
      <c r="D14" s="1197" t="s">
        <v>668</v>
      </c>
      <c r="E14" s="1198">
        <f>SUM(E16:E111)</f>
        <v>0</v>
      </c>
    </row>
    <row r="15" spans="1:52">
      <c r="A15" s="1130" t="s">
        <v>718</v>
      </c>
      <c r="B15" s="1199"/>
      <c r="C15" s="1199"/>
      <c r="D15" s="1200" t="s">
        <v>485</v>
      </c>
      <c r="E15" s="1201"/>
    </row>
    <row r="16" spans="1:52">
      <c r="A16" s="1155" t="s">
        <v>724</v>
      </c>
      <c r="B16" s="1675"/>
      <c r="C16" s="1675"/>
      <c r="D16" s="1676" t="s">
        <v>396</v>
      </c>
      <c r="E16" s="1204"/>
    </row>
    <row r="17" spans="1:5">
      <c r="B17" s="1677" t="s">
        <v>558</v>
      </c>
      <c r="C17" s="1677" t="s">
        <v>610</v>
      </c>
      <c r="D17" s="1678" t="s">
        <v>258</v>
      </c>
      <c r="E17" s="1207">
        <f>'1.1'!$G$4</f>
        <v>0</v>
      </c>
    </row>
    <row r="18" spans="1:5">
      <c r="B18" s="1675" t="s">
        <v>559</v>
      </c>
      <c r="C18" s="1675" t="s">
        <v>611</v>
      </c>
      <c r="D18" s="1679" t="s">
        <v>259</v>
      </c>
      <c r="E18" s="1204">
        <f>'1.2'!$G$4</f>
        <v>0</v>
      </c>
    </row>
    <row r="19" spans="1:5">
      <c r="B19" s="1677" t="s">
        <v>560</v>
      </c>
      <c r="C19" s="1677" t="s">
        <v>612</v>
      </c>
      <c r="D19" s="1678" t="s">
        <v>260</v>
      </c>
      <c r="E19" s="1207">
        <f>'1.3'!$G$4</f>
        <v>0</v>
      </c>
    </row>
    <row r="20" spans="1:5">
      <c r="B20" s="1675">
        <v>2</v>
      </c>
      <c r="C20" s="1675" t="s">
        <v>613</v>
      </c>
      <c r="D20" s="1676" t="s">
        <v>442</v>
      </c>
      <c r="E20" s="1204">
        <f>'2'!$G$4</f>
        <v>0</v>
      </c>
    </row>
    <row r="21" spans="1:5">
      <c r="B21" s="1683">
        <v>3</v>
      </c>
      <c r="C21" s="1683" t="s">
        <v>614</v>
      </c>
      <c r="D21" s="1684" t="s">
        <v>268</v>
      </c>
      <c r="E21" s="1207">
        <f>'3'!$G$4</f>
        <v>0</v>
      </c>
    </row>
    <row r="22" spans="1:5">
      <c r="B22" s="1675"/>
      <c r="C22" s="1675"/>
      <c r="D22" s="1676" t="s">
        <v>443</v>
      </c>
      <c r="E22" s="1204"/>
    </row>
    <row r="23" spans="1:5">
      <c r="B23" s="1677">
        <v>4.0999999999999996</v>
      </c>
      <c r="C23" s="1677" t="s">
        <v>615</v>
      </c>
      <c r="D23" s="1678" t="s">
        <v>444</v>
      </c>
      <c r="E23" s="1207">
        <f>'4'!$G$4</f>
        <v>0</v>
      </c>
    </row>
    <row r="24" spans="1:5">
      <c r="B24" s="1675" t="s">
        <v>2166</v>
      </c>
      <c r="C24" s="1675" t="s">
        <v>2167</v>
      </c>
      <c r="D24" s="1681" t="s">
        <v>2168</v>
      </c>
      <c r="E24" s="1204">
        <f>'4'!$G$38</f>
        <v>0</v>
      </c>
    </row>
    <row r="25" spans="1:5">
      <c r="B25" s="1677" t="s">
        <v>2169</v>
      </c>
      <c r="C25" s="1677" t="s">
        <v>2170</v>
      </c>
      <c r="D25" s="1682" t="s">
        <v>445</v>
      </c>
      <c r="E25" s="1207">
        <f>'4'!$G$68</f>
        <v>0</v>
      </c>
    </row>
    <row r="26" spans="1:5">
      <c r="B26" s="1675" t="s">
        <v>2171</v>
      </c>
      <c r="C26" s="1675" t="s">
        <v>2172</v>
      </c>
      <c r="D26" s="1681" t="s">
        <v>2173</v>
      </c>
      <c r="E26" s="1204">
        <f>'4'!$G$94</f>
        <v>0</v>
      </c>
    </row>
    <row r="27" spans="1:5">
      <c r="B27" s="1677" t="s">
        <v>2174</v>
      </c>
      <c r="C27" s="1677" t="s">
        <v>2175</v>
      </c>
      <c r="D27" s="1678" t="s">
        <v>2176</v>
      </c>
      <c r="E27" s="1207">
        <f>'4'!$G$131</f>
        <v>0</v>
      </c>
    </row>
    <row r="28" spans="1:5">
      <c r="B28" s="1675">
        <v>4.5</v>
      </c>
      <c r="C28" s="1675" t="s">
        <v>616</v>
      </c>
      <c r="D28" s="1681" t="s">
        <v>394</v>
      </c>
      <c r="E28" s="1204">
        <f>'4'!$G$163</f>
        <v>0</v>
      </c>
    </row>
    <row r="29" spans="1:5">
      <c r="B29" s="1677">
        <v>5.0999999999999996</v>
      </c>
      <c r="C29" s="1677" t="s">
        <v>2177</v>
      </c>
      <c r="D29" s="1682" t="s">
        <v>2178</v>
      </c>
      <c r="E29" s="1207">
        <f>'5'!$G$4</f>
        <v>0</v>
      </c>
    </row>
    <row r="30" spans="1:5">
      <c r="B30" s="1675">
        <v>6.1</v>
      </c>
      <c r="C30" s="1675" t="s">
        <v>2179</v>
      </c>
      <c r="D30" s="1681" t="s">
        <v>2180</v>
      </c>
      <c r="E30" s="1204">
        <f>'6'!$G$4</f>
        <v>0</v>
      </c>
    </row>
    <row r="31" spans="1:5">
      <c r="B31" s="1677"/>
      <c r="C31" s="1677" t="s">
        <v>617</v>
      </c>
      <c r="D31" s="1838" t="s">
        <v>2181</v>
      </c>
      <c r="E31" s="1207"/>
    </row>
    <row r="32" spans="1:5" s="254" customFormat="1">
      <c r="A32" s="1155"/>
      <c r="B32" s="1675">
        <v>7.1</v>
      </c>
      <c r="C32" s="1675" t="s">
        <v>2182</v>
      </c>
      <c r="D32" s="1681" t="s">
        <v>2183</v>
      </c>
      <c r="E32" s="1204">
        <f>'7'!$G$4</f>
        <v>0</v>
      </c>
    </row>
    <row r="33" spans="1:5" s="254" customFormat="1">
      <c r="A33" s="1155"/>
      <c r="B33" s="1677"/>
      <c r="C33" s="1677"/>
      <c r="D33" s="1680" t="s">
        <v>420</v>
      </c>
      <c r="E33" s="1207"/>
    </row>
    <row r="34" spans="1:5" s="254" customFormat="1">
      <c r="A34" s="1155"/>
      <c r="B34" s="1675">
        <v>8.1</v>
      </c>
      <c r="C34" s="1675" t="s">
        <v>618</v>
      </c>
      <c r="D34" s="1679" t="s">
        <v>446</v>
      </c>
      <c r="E34" s="1204">
        <f>'8'!$G$4</f>
        <v>0</v>
      </c>
    </row>
    <row r="35" spans="1:5" s="254" customFormat="1">
      <c r="A35" s="1155"/>
      <c r="B35" s="1677">
        <v>8.1999999999999993</v>
      </c>
      <c r="C35" s="1677" t="s">
        <v>619</v>
      </c>
      <c r="D35" s="1678" t="s">
        <v>277</v>
      </c>
      <c r="E35" s="1207">
        <f>'8'!$G$69</f>
        <v>0</v>
      </c>
    </row>
    <row r="36" spans="1:5">
      <c r="B36" s="1675"/>
      <c r="C36" s="1675"/>
      <c r="D36" s="1676" t="s">
        <v>261</v>
      </c>
      <c r="E36" s="1204"/>
    </row>
    <row r="37" spans="1:5">
      <c r="B37" s="1677" t="s">
        <v>2184</v>
      </c>
      <c r="C37" s="1677" t="s">
        <v>2242</v>
      </c>
      <c r="D37" s="1678" t="s">
        <v>2185</v>
      </c>
      <c r="E37" s="1207">
        <f>'9'!$G$4</f>
        <v>0</v>
      </c>
    </row>
    <row r="38" spans="1:5">
      <c r="B38" s="1675">
        <v>9.1999999999999993</v>
      </c>
      <c r="C38" s="1675" t="s">
        <v>620</v>
      </c>
      <c r="D38" s="1679" t="s">
        <v>262</v>
      </c>
      <c r="E38" s="1204">
        <f>'9'!$G$44</f>
        <v>0</v>
      </c>
    </row>
    <row r="39" spans="1:5">
      <c r="B39" s="1677">
        <v>10</v>
      </c>
      <c r="C39" s="1677" t="s">
        <v>621</v>
      </c>
      <c r="D39" s="1680" t="s">
        <v>2186</v>
      </c>
      <c r="E39" s="1207">
        <f>'10'!$G$4</f>
        <v>0</v>
      </c>
    </row>
    <row r="40" spans="1:5">
      <c r="B40" s="1675"/>
      <c r="C40" s="1675"/>
      <c r="D40" s="1676" t="s">
        <v>501</v>
      </c>
      <c r="E40" s="1204"/>
    </row>
    <row r="41" spans="1:5">
      <c r="B41" s="1677">
        <v>11.1</v>
      </c>
      <c r="C41" s="1677" t="s">
        <v>622</v>
      </c>
      <c r="D41" s="1678" t="s">
        <v>561</v>
      </c>
      <c r="E41" s="1207">
        <f>'11'!$G$4</f>
        <v>0</v>
      </c>
    </row>
    <row r="42" spans="1:5">
      <c r="B42" s="1675">
        <v>11.3</v>
      </c>
      <c r="C42" s="1675" t="s">
        <v>2187</v>
      </c>
      <c r="D42" s="1681" t="s">
        <v>2188</v>
      </c>
      <c r="E42" s="1204">
        <f>'11'!$G$78</f>
        <v>0</v>
      </c>
    </row>
    <row r="43" spans="1:5">
      <c r="B43" s="1677">
        <v>11.4</v>
      </c>
      <c r="C43" s="1677" t="s">
        <v>2189</v>
      </c>
      <c r="D43" s="1678" t="s">
        <v>2190</v>
      </c>
      <c r="E43" s="1207">
        <f>'11'!$G$98</f>
        <v>0</v>
      </c>
    </row>
    <row r="44" spans="1:5">
      <c r="B44" s="1675"/>
      <c r="C44" s="1675"/>
      <c r="D44" s="1676" t="s">
        <v>2191</v>
      </c>
      <c r="E44" s="1204"/>
    </row>
    <row r="45" spans="1:5">
      <c r="B45" s="1677">
        <v>12.1</v>
      </c>
      <c r="C45" s="1677" t="s">
        <v>2192</v>
      </c>
      <c r="D45" s="1682" t="s">
        <v>2191</v>
      </c>
      <c r="E45" s="1207">
        <f>'12'!$G$4</f>
        <v>0</v>
      </c>
    </row>
    <row r="46" spans="1:5">
      <c r="B46" s="1675">
        <v>12.2</v>
      </c>
      <c r="C46" s="1675" t="s">
        <v>2193</v>
      </c>
      <c r="D46" s="1681" t="s">
        <v>2194</v>
      </c>
      <c r="E46" s="1204">
        <f>'12'!$G$76</f>
        <v>0</v>
      </c>
    </row>
    <row r="47" spans="1:5">
      <c r="B47" s="1677"/>
      <c r="C47" s="1677"/>
      <c r="D47" s="1680" t="s">
        <v>270</v>
      </c>
      <c r="E47" s="1207"/>
    </row>
    <row r="48" spans="1:5">
      <c r="B48" s="1675">
        <v>13.1</v>
      </c>
      <c r="C48" s="1675" t="s">
        <v>623</v>
      </c>
      <c r="D48" s="1679" t="s">
        <v>2195</v>
      </c>
      <c r="E48" s="1204">
        <f>'13'!$G$4</f>
        <v>0</v>
      </c>
    </row>
    <row r="49" spans="2:5">
      <c r="B49" s="1677">
        <v>13.2</v>
      </c>
      <c r="C49" s="1677" t="s">
        <v>624</v>
      </c>
      <c r="D49" s="1678" t="s">
        <v>459</v>
      </c>
      <c r="E49" s="1207">
        <f>'13'!$G$34</f>
        <v>0</v>
      </c>
    </row>
    <row r="50" spans="2:5">
      <c r="B50" s="1675">
        <v>13.3</v>
      </c>
      <c r="C50" s="1675" t="s">
        <v>625</v>
      </c>
      <c r="D50" s="1679" t="s">
        <v>421</v>
      </c>
      <c r="E50" s="1204">
        <f>'13'!$G$53</f>
        <v>0</v>
      </c>
    </row>
    <row r="51" spans="2:5">
      <c r="B51" s="1677">
        <v>14</v>
      </c>
      <c r="C51" s="1677" t="s">
        <v>626</v>
      </c>
      <c r="D51" s="1680" t="s">
        <v>263</v>
      </c>
      <c r="E51" s="1207">
        <f>'14'!$G$4</f>
        <v>0</v>
      </c>
    </row>
    <row r="52" spans="2:5">
      <c r="B52" s="1685">
        <v>15</v>
      </c>
      <c r="C52" s="1685" t="s">
        <v>627</v>
      </c>
      <c r="D52" s="1686" t="s">
        <v>486</v>
      </c>
      <c r="E52" s="1204">
        <f>'15'!$G$4</f>
        <v>0</v>
      </c>
    </row>
    <row r="53" spans="2:5">
      <c r="B53" s="1677"/>
      <c r="C53" s="1677"/>
      <c r="D53" s="1680" t="s">
        <v>447</v>
      </c>
      <c r="E53" s="1207"/>
    </row>
    <row r="54" spans="2:5">
      <c r="B54" s="1675">
        <v>16.100000000000001</v>
      </c>
      <c r="C54" s="1675" t="s">
        <v>628</v>
      </c>
      <c r="D54" s="1679" t="s">
        <v>448</v>
      </c>
      <c r="E54" s="1204">
        <f>'16'!$G$4</f>
        <v>0</v>
      </c>
    </row>
    <row r="55" spans="2:5">
      <c r="B55" s="1677">
        <v>16.2</v>
      </c>
      <c r="C55" s="1677" t="s">
        <v>629</v>
      </c>
      <c r="D55" s="1678" t="s">
        <v>449</v>
      </c>
      <c r="E55" s="1207">
        <f>'16'!$G$49</f>
        <v>0</v>
      </c>
    </row>
    <row r="56" spans="2:5">
      <c r="B56" s="1675">
        <v>16.3</v>
      </c>
      <c r="C56" s="1675" t="s">
        <v>630</v>
      </c>
      <c r="D56" s="1679" t="s">
        <v>2196</v>
      </c>
      <c r="E56" s="1204">
        <f>'16'!$G$68</f>
        <v>0</v>
      </c>
    </row>
    <row r="57" spans="2:5">
      <c r="B57" s="1677">
        <v>16.399999999999999</v>
      </c>
      <c r="C57" s="1677" t="s">
        <v>631</v>
      </c>
      <c r="D57" s="1678" t="s">
        <v>2197</v>
      </c>
      <c r="E57" s="1207">
        <f>'16'!$G$91</f>
        <v>0</v>
      </c>
    </row>
    <row r="58" spans="2:5">
      <c r="B58" s="1675" t="s">
        <v>2198</v>
      </c>
      <c r="C58" s="1675" t="s">
        <v>2199</v>
      </c>
      <c r="D58" s="1681" t="s">
        <v>2200</v>
      </c>
      <c r="E58" s="1204">
        <f>'16'!$G$101</f>
        <v>0</v>
      </c>
    </row>
    <row r="59" spans="2:5">
      <c r="B59" s="1677">
        <v>16.5</v>
      </c>
      <c r="C59" s="1677" t="s">
        <v>632</v>
      </c>
      <c r="D59" s="1682" t="s">
        <v>450</v>
      </c>
      <c r="E59" s="1207">
        <f>'16'!$G$129</f>
        <v>0</v>
      </c>
    </row>
    <row r="60" spans="2:5">
      <c r="B60" s="1675">
        <v>16.600000000000001</v>
      </c>
      <c r="C60" s="1675" t="s">
        <v>633</v>
      </c>
      <c r="D60" s="1681" t="s">
        <v>451</v>
      </c>
      <c r="E60" s="1204">
        <f>'16'!$G$150</f>
        <v>0</v>
      </c>
    </row>
    <row r="61" spans="2:5">
      <c r="B61" s="1677">
        <v>16.7</v>
      </c>
      <c r="C61" s="1677" t="s">
        <v>634</v>
      </c>
      <c r="D61" s="1682" t="s">
        <v>2201</v>
      </c>
      <c r="E61" s="1207">
        <f>'16'!$G$169</f>
        <v>0</v>
      </c>
    </row>
    <row r="62" spans="2:5">
      <c r="B62" s="1675"/>
      <c r="C62" s="1675"/>
      <c r="D62" s="1839" t="s">
        <v>498</v>
      </c>
      <c r="E62" s="1204"/>
    </row>
    <row r="63" spans="2:5">
      <c r="B63" s="1677">
        <v>17.100000000000001</v>
      </c>
      <c r="C63" s="1677" t="s">
        <v>635</v>
      </c>
      <c r="D63" s="1682" t="s">
        <v>487</v>
      </c>
      <c r="E63" s="1207">
        <f>'17'!$G$4</f>
        <v>0</v>
      </c>
    </row>
    <row r="64" spans="2:5" ht="21">
      <c r="B64" s="1675">
        <v>17.2</v>
      </c>
      <c r="C64" s="1675" t="s">
        <v>636</v>
      </c>
      <c r="D64" s="1681" t="s">
        <v>488</v>
      </c>
      <c r="E64" s="1204">
        <f>'17'!$G$56</f>
        <v>0</v>
      </c>
    </row>
    <row r="65" spans="2:5">
      <c r="B65" s="1677">
        <v>17.3</v>
      </c>
      <c r="C65" s="1677" t="s">
        <v>637</v>
      </c>
      <c r="D65" s="1682" t="s">
        <v>489</v>
      </c>
      <c r="E65" s="1207">
        <f>'17'!$G$73</f>
        <v>0</v>
      </c>
    </row>
    <row r="66" spans="2:5">
      <c r="B66" s="1683">
        <v>18</v>
      </c>
      <c r="C66" s="1683" t="s">
        <v>638</v>
      </c>
      <c r="D66" s="1684" t="s">
        <v>702</v>
      </c>
      <c r="E66" s="1207"/>
    </row>
    <row r="67" spans="2:5">
      <c r="B67" s="1685">
        <v>19</v>
      </c>
      <c r="C67" s="1685" t="s">
        <v>639</v>
      </c>
      <c r="D67" s="1686" t="s">
        <v>701</v>
      </c>
      <c r="E67" s="1204"/>
    </row>
    <row r="68" spans="2:5">
      <c r="B68" s="1199"/>
      <c r="C68" s="1199"/>
      <c r="D68" s="1214" t="s">
        <v>490</v>
      </c>
      <c r="E68" s="1215"/>
    </row>
    <row r="69" spans="2:5">
      <c r="B69" s="1202"/>
      <c r="C69" s="1202"/>
      <c r="D69" s="1203" t="s">
        <v>419</v>
      </c>
      <c r="E69" s="1204"/>
    </row>
    <row r="70" spans="2:5">
      <c r="B70" s="1205">
        <v>20.100000000000001</v>
      </c>
      <c r="C70" s="1205" t="s">
        <v>640</v>
      </c>
      <c r="D70" s="1206" t="s">
        <v>265</v>
      </c>
      <c r="E70" s="1207">
        <f>'20'!$G$4</f>
        <v>0</v>
      </c>
    </row>
    <row r="71" spans="2:5">
      <c r="B71" s="1202">
        <v>20.2</v>
      </c>
      <c r="C71" s="1202" t="s">
        <v>641</v>
      </c>
      <c r="D71" s="1208" t="s">
        <v>266</v>
      </c>
      <c r="E71" s="1204">
        <f>'20'!$G$51</f>
        <v>0</v>
      </c>
    </row>
    <row r="72" spans="2:5">
      <c r="B72" s="1205">
        <v>20.3</v>
      </c>
      <c r="C72" s="1205" t="s">
        <v>642</v>
      </c>
      <c r="D72" s="1206" t="s">
        <v>380</v>
      </c>
      <c r="E72" s="1207">
        <f>'20'!$G$87</f>
        <v>0</v>
      </c>
    </row>
    <row r="73" spans="2:5">
      <c r="B73" s="1205"/>
      <c r="C73" s="1205"/>
      <c r="D73" s="1701" t="s">
        <v>2243</v>
      </c>
      <c r="E73" s="1207"/>
    </row>
    <row r="74" spans="2:5">
      <c r="B74" s="1202">
        <v>20.399999999999999</v>
      </c>
      <c r="C74" s="1202" t="s">
        <v>643</v>
      </c>
      <c r="D74" s="1208" t="s">
        <v>264</v>
      </c>
      <c r="E74" s="1204">
        <f>'20 (All countries)'!$G$4</f>
        <v>0</v>
      </c>
    </row>
    <row r="75" spans="2:5">
      <c r="B75" s="1205">
        <v>20.5</v>
      </c>
      <c r="C75" s="1205" t="s">
        <v>644</v>
      </c>
      <c r="D75" s="1206" t="s">
        <v>475</v>
      </c>
      <c r="E75" s="1207">
        <f>'20 (All countries)'!$G$49</f>
        <v>0</v>
      </c>
    </row>
    <row r="76" spans="2:5">
      <c r="B76" s="1202">
        <v>20.6</v>
      </c>
      <c r="C76" s="1202" t="s">
        <v>645</v>
      </c>
      <c r="D76" s="1208" t="s">
        <v>412</v>
      </c>
      <c r="E76" s="1204">
        <f>'20 (All countries)'!$G$66</f>
        <v>0</v>
      </c>
    </row>
    <row r="77" spans="2:5">
      <c r="B77" s="1205" t="s">
        <v>2139</v>
      </c>
      <c r="C77" s="1205" t="s">
        <v>2138</v>
      </c>
      <c r="D77" s="1206" t="s">
        <v>2137</v>
      </c>
      <c r="E77" s="1207">
        <f>'20 (All countries)'!$G$93</f>
        <v>0</v>
      </c>
    </row>
    <row r="78" spans="2:5">
      <c r="B78" s="1205"/>
      <c r="C78" s="1205"/>
      <c r="D78" s="1701" t="s">
        <v>2244</v>
      </c>
      <c r="E78" s="1204"/>
    </row>
    <row r="79" spans="2:5">
      <c r="B79" s="1202">
        <v>20.399999999999999</v>
      </c>
      <c r="C79" s="1202" t="s">
        <v>643</v>
      </c>
      <c r="D79" s="1208" t="s">
        <v>264</v>
      </c>
      <c r="E79" s="1204" t="s">
        <v>1230</v>
      </c>
    </row>
    <row r="80" spans="2:5">
      <c r="B80" s="1205">
        <v>20.5</v>
      </c>
      <c r="C80" s="1205" t="s">
        <v>644</v>
      </c>
      <c r="D80" s="1206" t="s">
        <v>475</v>
      </c>
      <c r="E80" s="1204" t="s">
        <v>1230</v>
      </c>
    </row>
    <row r="81" spans="2:5">
      <c r="B81" s="1202">
        <v>20.6</v>
      </c>
      <c r="C81" s="1202" t="s">
        <v>645</v>
      </c>
      <c r="D81" s="1208" t="s">
        <v>412</v>
      </c>
      <c r="E81" s="1204" t="s">
        <v>1230</v>
      </c>
    </row>
    <row r="82" spans="2:5">
      <c r="B82" s="1205" t="s">
        <v>2139</v>
      </c>
      <c r="C82" s="1205" t="s">
        <v>2138</v>
      </c>
      <c r="D82" s="1206" t="s">
        <v>2137</v>
      </c>
      <c r="E82" s="1204" t="s">
        <v>1230</v>
      </c>
    </row>
    <row r="83" spans="2:5">
      <c r="B83" s="1685">
        <v>21</v>
      </c>
      <c r="C83" s="1685" t="s">
        <v>646</v>
      </c>
      <c r="D83" s="1686" t="s">
        <v>273</v>
      </c>
      <c r="E83" s="1204">
        <f>'21'!$G$4</f>
        <v>0</v>
      </c>
    </row>
    <row r="84" spans="2:5">
      <c r="B84" s="1205"/>
      <c r="C84" s="1205"/>
      <c r="D84" s="1209" t="s">
        <v>588</v>
      </c>
      <c r="E84" s="1207"/>
    </row>
    <row r="85" spans="2:5">
      <c r="B85" s="1202">
        <v>22.1</v>
      </c>
      <c r="C85" s="1202" t="s">
        <v>647</v>
      </c>
      <c r="D85" s="1212" t="s">
        <v>267</v>
      </c>
      <c r="E85" s="1204">
        <f>'22'!$G$4</f>
        <v>0</v>
      </c>
    </row>
    <row r="86" spans="2:5">
      <c r="B86" s="1205">
        <v>22.2</v>
      </c>
      <c r="C86" s="1205" t="s">
        <v>648</v>
      </c>
      <c r="D86" s="1210" t="s">
        <v>503</v>
      </c>
      <c r="E86" s="1207">
        <f>'22'!$G$54</f>
        <v>0</v>
      </c>
    </row>
    <row r="87" spans="2:5">
      <c r="B87" s="1199"/>
      <c r="C87" s="1199"/>
      <c r="D87" s="1200" t="s">
        <v>491</v>
      </c>
      <c r="E87" s="1216"/>
    </row>
    <row r="88" spans="2:5">
      <c r="B88" s="1205"/>
      <c r="C88" s="1205"/>
      <c r="D88" s="1211" t="s">
        <v>492</v>
      </c>
      <c r="E88" s="1207"/>
    </row>
    <row r="89" spans="2:5">
      <c r="B89" s="1685">
        <v>30.1</v>
      </c>
      <c r="C89" s="1685" t="s">
        <v>649</v>
      </c>
      <c r="D89" s="1845" t="s">
        <v>381</v>
      </c>
      <c r="E89" s="1204">
        <f>'30'!$G$4</f>
        <v>0</v>
      </c>
    </row>
    <row r="90" spans="2:5">
      <c r="B90" s="1683">
        <v>30.2</v>
      </c>
      <c r="C90" s="1683" t="s">
        <v>650</v>
      </c>
      <c r="D90" s="1846" t="s">
        <v>382</v>
      </c>
      <c r="E90" s="1207">
        <f>'30'!$G$21</f>
        <v>0</v>
      </c>
    </row>
    <row r="91" spans="2:5">
      <c r="B91" s="1202"/>
      <c r="C91" s="1202"/>
      <c r="D91" s="1203" t="s">
        <v>493</v>
      </c>
      <c r="E91" s="1204"/>
    </row>
    <row r="92" spans="2:5">
      <c r="B92" s="1683">
        <v>31.1</v>
      </c>
      <c r="C92" s="1683" t="s">
        <v>651</v>
      </c>
      <c r="D92" s="1846" t="s">
        <v>278</v>
      </c>
      <c r="E92" s="1207">
        <f>'31'!$G$4</f>
        <v>0</v>
      </c>
    </row>
    <row r="93" spans="2:5">
      <c r="B93" s="1685">
        <v>31.2</v>
      </c>
      <c r="C93" s="1685" t="s">
        <v>652</v>
      </c>
      <c r="D93" s="1845" t="s">
        <v>454</v>
      </c>
      <c r="E93" s="1204">
        <f>'31'!$G$45</f>
        <v>0</v>
      </c>
    </row>
    <row r="94" spans="2:5">
      <c r="B94" s="1199"/>
      <c r="C94" s="1199"/>
      <c r="D94" s="1214" t="s">
        <v>494</v>
      </c>
      <c r="E94" s="1215"/>
    </row>
    <row r="95" spans="2:5">
      <c r="B95" s="1202"/>
      <c r="C95" s="1202"/>
      <c r="D95" s="1213" t="s">
        <v>455</v>
      </c>
      <c r="E95" s="1204"/>
    </row>
    <row r="96" spans="2:5">
      <c r="B96" s="1205">
        <v>40.1</v>
      </c>
      <c r="C96" s="1205" t="s">
        <v>2140</v>
      </c>
      <c r="D96" s="1210" t="s">
        <v>456</v>
      </c>
      <c r="E96" s="1207">
        <f>'40'!$G$4</f>
        <v>0</v>
      </c>
    </row>
    <row r="97" spans="2:5">
      <c r="B97" s="1685">
        <v>40.200000000000003</v>
      </c>
      <c r="C97" s="1685" t="s">
        <v>653</v>
      </c>
      <c r="D97" s="1845" t="s">
        <v>457</v>
      </c>
      <c r="E97" s="1204">
        <f>'40'!$G$421</f>
        <v>0</v>
      </c>
    </row>
    <row r="98" spans="2:5">
      <c r="B98" s="1205"/>
      <c r="C98" s="1205"/>
      <c r="D98" s="1209" t="s">
        <v>166</v>
      </c>
      <c r="E98" s="1207"/>
    </row>
    <row r="99" spans="2:5">
      <c r="B99" s="1685">
        <v>41.1</v>
      </c>
      <c r="C99" s="1685" t="s">
        <v>654</v>
      </c>
      <c r="D99" s="1845" t="s">
        <v>271</v>
      </c>
      <c r="E99" s="1204">
        <f>'41'!$G$4</f>
        <v>0</v>
      </c>
    </row>
    <row r="100" spans="2:5">
      <c r="B100" s="1683">
        <v>41.2</v>
      </c>
      <c r="C100" s="1683" t="s">
        <v>655</v>
      </c>
      <c r="D100" s="1846" t="s">
        <v>272</v>
      </c>
      <c r="E100" s="1207">
        <f>'41'!$G$27</f>
        <v>0</v>
      </c>
    </row>
    <row r="101" spans="2:5">
      <c r="B101" s="1683">
        <v>42</v>
      </c>
      <c r="C101" s="1683" t="s">
        <v>656</v>
      </c>
      <c r="D101" s="1684" t="s">
        <v>497</v>
      </c>
      <c r="E101" s="1207">
        <f>'42'!$G$4</f>
        <v>0</v>
      </c>
    </row>
    <row r="102" spans="2:5">
      <c r="B102" s="1685">
        <v>43</v>
      </c>
      <c r="C102" s="1685" t="s">
        <v>657</v>
      </c>
      <c r="D102" s="1686" t="s">
        <v>6</v>
      </c>
      <c r="E102" s="1204">
        <f>'43'!$G$4</f>
        <v>0</v>
      </c>
    </row>
    <row r="103" spans="2:5">
      <c r="B103" s="1683"/>
      <c r="C103" s="1683"/>
      <c r="D103" s="1684" t="s">
        <v>274</v>
      </c>
      <c r="E103" s="1207"/>
    </row>
    <row r="104" spans="2:5">
      <c r="B104" s="1685">
        <v>44.1</v>
      </c>
      <c r="C104" s="1685" t="s">
        <v>658</v>
      </c>
      <c r="D104" s="1845" t="s">
        <v>452</v>
      </c>
      <c r="E104" s="1204">
        <f>'44'!$G$4</f>
        <v>0</v>
      </c>
    </row>
    <row r="105" spans="2:5">
      <c r="B105" s="1683">
        <v>44.2</v>
      </c>
      <c r="C105" s="1683" t="s">
        <v>659</v>
      </c>
      <c r="D105" s="1846" t="s">
        <v>275</v>
      </c>
      <c r="E105" s="1207">
        <f>'44'!$G$30</f>
        <v>0</v>
      </c>
    </row>
    <row r="106" spans="2:5">
      <c r="B106" s="1685">
        <v>44.3</v>
      </c>
      <c r="C106" s="1685" t="s">
        <v>660</v>
      </c>
      <c r="D106" s="1845" t="s">
        <v>276</v>
      </c>
      <c r="E106" s="1204">
        <f>'44'!$G$55</f>
        <v>0</v>
      </c>
    </row>
    <row r="107" spans="2:5">
      <c r="B107" s="1683"/>
      <c r="C107" s="1683"/>
      <c r="D107" s="1684" t="s">
        <v>453</v>
      </c>
      <c r="E107" s="1207"/>
    </row>
    <row r="108" spans="2:5">
      <c r="B108" s="1685">
        <v>45.1</v>
      </c>
      <c r="C108" s="1685" t="s">
        <v>661</v>
      </c>
      <c r="D108" s="1845" t="s">
        <v>458</v>
      </c>
      <c r="E108" s="1204">
        <f>'45'!$G$4</f>
        <v>0</v>
      </c>
    </row>
    <row r="109" spans="2:5">
      <c r="B109" s="1683">
        <v>45.2</v>
      </c>
      <c r="C109" s="1683" t="s">
        <v>662</v>
      </c>
      <c r="D109" s="1846" t="s">
        <v>2136</v>
      </c>
      <c r="E109" s="1207">
        <f>'45'!$G$22</f>
        <v>0</v>
      </c>
    </row>
    <row r="110" spans="2:5">
      <c r="B110" s="1685">
        <v>45.3</v>
      </c>
      <c r="C110" s="1685" t="s">
        <v>663</v>
      </c>
      <c r="D110" s="1845" t="s">
        <v>220</v>
      </c>
      <c r="E110" s="1204">
        <f>'45'!$G$39</f>
        <v>0</v>
      </c>
    </row>
    <row r="111" spans="2:5">
      <c r="B111" s="1847">
        <v>46</v>
      </c>
      <c r="C111" s="1847" t="s">
        <v>664</v>
      </c>
      <c r="D111" s="1848" t="s">
        <v>269</v>
      </c>
      <c r="E111" s="1217">
        <f>'46'!$G$4</f>
        <v>0</v>
      </c>
    </row>
    <row r="112" spans="2:5">
      <c r="B112" s="109"/>
      <c r="D112" s="339"/>
    </row>
  </sheetData>
  <sheetProtection password="C2F4" sheet="1" objects="1" scenarios="1"/>
  <mergeCells count="2">
    <mergeCell ref="B8:C8"/>
    <mergeCell ref="B13:D13"/>
  </mergeCells>
  <conditionalFormatting sqref="E14:E27 E33:E41 E47:E57 E79:E111 E43 E66:E73">
    <cfRule type="cellIs" dxfId="22" priority="25" stopIfTrue="1" operator="greaterThan">
      <formula>0</formula>
    </cfRule>
  </conditionalFormatting>
  <conditionalFormatting sqref="E44">
    <cfRule type="cellIs" dxfId="21" priority="24" stopIfTrue="1" operator="greaterThan">
      <formula>0</formula>
    </cfRule>
  </conditionalFormatting>
  <conditionalFormatting sqref="E78">
    <cfRule type="cellIs" dxfId="20" priority="20" stopIfTrue="1" operator="greaterThan">
      <formula>0</formula>
    </cfRule>
  </conditionalFormatting>
  <conditionalFormatting sqref="E76:E77">
    <cfRule type="cellIs" dxfId="19" priority="17" stopIfTrue="1" operator="greaterThan">
      <formula>0</formula>
    </cfRule>
  </conditionalFormatting>
  <conditionalFormatting sqref="E74:E75">
    <cfRule type="cellIs" dxfId="18" priority="18" stopIfTrue="1" operator="greaterThan">
      <formula>0</formula>
    </cfRule>
  </conditionalFormatting>
  <conditionalFormatting sqref="E28">
    <cfRule type="cellIs" dxfId="17" priority="16" stopIfTrue="1" operator="greaterThan">
      <formula>0</formula>
    </cfRule>
  </conditionalFormatting>
  <conditionalFormatting sqref="E30">
    <cfRule type="cellIs" dxfId="16" priority="15" stopIfTrue="1" operator="greaterThan">
      <formula>0</formula>
    </cfRule>
  </conditionalFormatting>
  <conditionalFormatting sqref="E32">
    <cfRule type="cellIs" dxfId="15" priority="14" stopIfTrue="1" operator="greaterThan">
      <formula>0</formula>
    </cfRule>
  </conditionalFormatting>
  <conditionalFormatting sqref="E42">
    <cfRule type="cellIs" dxfId="14" priority="13" stopIfTrue="1" operator="greaterThan">
      <formula>0</formula>
    </cfRule>
  </conditionalFormatting>
  <conditionalFormatting sqref="E46">
    <cfRule type="cellIs" dxfId="13" priority="12" stopIfTrue="1" operator="greaterThan">
      <formula>0</formula>
    </cfRule>
  </conditionalFormatting>
  <conditionalFormatting sqref="E58">
    <cfRule type="cellIs" dxfId="12" priority="11" stopIfTrue="1" operator="greaterThan">
      <formula>0</formula>
    </cfRule>
  </conditionalFormatting>
  <conditionalFormatting sqref="E60">
    <cfRule type="cellIs" dxfId="11" priority="10" stopIfTrue="1" operator="greaterThan">
      <formula>0</formula>
    </cfRule>
  </conditionalFormatting>
  <conditionalFormatting sqref="E62">
    <cfRule type="cellIs" dxfId="10" priority="9" stopIfTrue="1" operator="greaterThan">
      <formula>0</formula>
    </cfRule>
  </conditionalFormatting>
  <conditionalFormatting sqref="E64">
    <cfRule type="cellIs" dxfId="9" priority="8" stopIfTrue="1" operator="greaterThan">
      <formula>0</formula>
    </cfRule>
  </conditionalFormatting>
  <conditionalFormatting sqref="E29">
    <cfRule type="cellIs" dxfId="8" priority="7" stopIfTrue="1" operator="greaterThan">
      <formula>0</formula>
    </cfRule>
  </conditionalFormatting>
  <conditionalFormatting sqref="E31">
    <cfRule type="cellIs" dxfId="7" priority="6" stopIfTrue="1" operator="greaterThan">
      <formula>0</formula>
    </cfRule>
  </conditionalFormatting>
  <conditionalFormatting sqref="E45">
    <cfRule type="cellIs" dxfId="6" priority="5" stopIfTrue="1" operator="greaterThan">
      <formula>0</formula>
    </cfRule>
  </conditionalFormatting>
  <conditionalFormatting sqref="E59">
    <cfRule type="cellIs" dxfId="5" priority="4" stopIfTrue="1" operator="greaterThan">
      <formula>0</formula>
    </cfRule>
  </conditionalFormatting>
  <conditionalFormatting sqref="E61">
    <cfRule type="cellIs" dxfId="4" priority="3" stopIfTrue="1" operator="greaterThan">
      <formula>0</formula>
    </cfRule>
  </conditionalFormatting>
  <conditionalFormatting sqref="E63">
    <cfRule type="cellIs" dxfId="3" priority="2" stopIfTrue="1" operator="greaterThan">
      <formula>0</formula>
    </cfRule>
  </conditionalFormatting>
  <conditionalFormatting sqref="E65">
    <cfRule type="cellIs" dxfId="2" priority="1" stopIfTrue="1" operator="greaterThan">
      <formula>0</formula>
    </cfRule>
  </conditionalFormatting>
  <dataValidations count="2">
    <dataValidation type="list" allowBlank="1" showInputMessage="1" showErrorMessage="1" sqref="D8">
      <formula1>$AH$7:$AH$8</formula1>
    </dataValidation>
    <dataValidation type="textLength" allowBlank="1" showInputMessage="1" showErrorMessage="1" errorTitle="ERROR" error="Enter the SHORT name of the Bank" sqref="D6">
      <formula1>1</formula1>
      <formula2>10</formula2>
    </dataValidation>
  </dataValidations>
  <printOptions horizontalCentered="1" verticalCentered="1"/>
  <pageMargins left="0.24" right="0.23622047244094491" top="0.21" bottom="0.2" header="0.17" footer="0.17"/>
  <pageSetup paperSize="9" scale="45" orientation="portrait" cellComments="asDisplayed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Q59"/>
  <sheetViews>
    <sheetView topLeftCell="B6" zoomScaleNormal="100" zoomScaleSheetLayoutView="100" workbookViewId="0">
      <selection activeCell="B6" sqref="B6"/>
    </sheetView>
  </sheetViews>
  <sheetFormatPr defaultColWidth="12.42578125" defaultRowHeight="12.75"/>
  <cols>
    <col min="1" max="1" width="13.5703125" style="1156" hidden="1" customWidth="1"/>
    <col min="2" max="2" width="4" style="93" bestFit="1" customWidth="1"/>
    <col min="3" max="3" width="55.5703125" style="93" customWidth="1"/>
    <col min="4" max="4" width="34.5703125" style="93" customWidth="1"/>
    <col min="5" max="6" width="14.85546875" style="93" customWidth="1"/>
    <col min="7" max="7" width="16.28515625" style="93" bestFit="1" customWidth="1"/>
    <col min="8" max="9" width="16.28515625" style="93" customWidth="1"/>
    <col min="10" max="10" width="24.7109375" style="93" bestFit="1" customWidth="1"/>
    <col min="11" max="254" width="9.140625" style="93" customWidth="1"/>
    <col min="255" max="255" width="1.42578125" style="93" customWidth="1"/>
    <col min="256" max="256" width="46.42578125" style="93" customWidth="1"/>
    <col min="257" max="257" width="16.42578125" style="93" customWidth="1"/>
    <col min="258" max="258" width="10.85546875" style="93" customWidth="1"/>
    <col min="259" max="16384" width="12.42578125" style="93"/>
  </cols>
  <sheetData>
    <row r="1" spans="1:17" s="1097" customFormat="1" ht="18" hidden="1" customHeight="1">
      <c r="A1" s="1096" t="s">
        <v>2203</v>
      </c>
      <c r="B1" s="1118">
        <v>2</v>
      </c>
      <c r="C1" s="1118">
        <v>1</v>
      </c>
      <c r="D1" s="1119">
        <v>16</v>
      </c>
      <c r="E1" s="1182">
        <v>5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17" s="1097" customFormat="1" ht="18" hidden="1" customHeight="1">
      <c r="A2" s="1096" t="str">
        <f>Index!$A$2</f>
        <v>V20181222</v>
      </c>
      <c r="B2" s="1098"/>
      <c r="C2" s="1099"/>
      <c r="D2" s="1100"/>
      <c r="E2" s="1100" t="str">
        <f>$A$1&amp;"_"&amp;E15</f>
        <v>F-06.01_010</v>
      </c>
      <c r="F2" s="1100" t="str">
        <f>$A$1&amp;"_"&amp;F15</f>
        <v>F-06.01_011</v>
      </c>
      <c r="G2" s="1100" t="str">
        <f>$A$1&amp;"_"&amp;G15</f>
        <v>F-06.01_012</v>
      </c>
      <c r="H2" s="1100" t="str">
        <f t="shared" ref="H2:I2" si="0">$A$1&amp;"_"&amp;H15</f>
        <v>F-06.01_021</v>
      </c>
      <c r="I2" s="1100" t="str">
        <f t="shared" si="0"/>
        <v>F-06.01_022</v>
      </c>
      <c r="J2" s="93"/>
      <c r="K2" s="1100"/>
      <c r="L2" s="1100"/>
      <c r="M2" s="1100"/>
      <c r="N2" s="1100"/>
      <c r="O2" s="1100"/>
      <c r="P2" s="1100"/>
      <c r="Q2" s="1101"/>
    </row>
    <row r="3" spans="1:17" s="1097" customFormat="1" ht="18" hidden="1" customHeight="1">
      <c r="A3" s="1096" t="str">
        <f>"R:A1:P"&amp;ROW(A56)+1</f>
        <v>R:A1:P57</v>
      </c>
      <c r="B3" s="1102"/>
      <c r="C3" s="1103"/>
      <c r="D3" s="1104"/>
      <c r="E3" s="1105"/>
      <c r="F3" s="1105"/>
      <c r="G3" s="1106"/>
      <c r="H3" s="1106"/>
      <c r="I3" s="1106"/>
      <c r="J3" s="93"/>
      <c r="K3" s="1107"/>
      <c r="L3" s="1107"/>
      <c r="M3" s="1107"/>
      <c r="N3" s="1107"/>
    </row>
    <row r="4" spans="1:17" s="1097" customFormat="1" ht="18" hidden="1" customHeight="1">
      <c r="A4" s="1096"/>
      <c r="B4" s="1102"/>
      <c r="C4" s="1103"/>
      <c r="D4" s="1108"/>
      <c r="E4" s="1109"/>
      <c r="F4" s="1110"/>
      <c r="G4" s="1111">
        <f>Q5</f>
        <v>0</v>
      </c>
      <c r="H4" s="1107"/>
      <c r="I4" s="1107"/>
      <c r="J4" s="93"/>
      <c r="K4" s="1107"/>
    </row>
    <row r="5" spans="1:17" s="1097" customFormat="1" ht="18" hidden="1" customHeight="1">
      <c r="A5" s="1096"/>
      <c r="B5" s="1102"/>
      <c r="C5" s="1103"/>
      <c r="D5" s="1112"/>
      <c r="E5" s="1113"/>
      <c r="F5" s="1113"/>
      <c r="G5" s="1114"/>
      <c r="H5" s="1114"/>
      <c r="I5" s="1114"/>
      <c r="J5" s="93"/>
      <c r="Q5" s="1097">
        <f>COUNTIF(B36:N59,"&lt;&gt;0")-COUNTBLANK(B36:N59)</f>
        <v>0</v>
      </c>
    </row>
    <row r="6" spans="1:17" s="1116" customFormat="1">
      <c r="A6" s="1100" t="s">
        <v>718</v>
      </c>
      <c r="B6" s="1115"/>
      <c r="J6" s="93"/>
    </row>
    <row r="7" spans="1:17">
      <c r="A7" s="1100" t="s">
        <v>718</v>
      </c>
      <c r="B7" s="607" t="s">
        <v>1994</v>
      </c>
      <c r="C7" s="608"/>
      <c r="D7" s="608"/>
    </row>
    <row r="8" spans="1:17">
      <c r="A8" s="1100" t="s">
        <v>718</v>
      </c>
      <c r="C8" s="31"/>
    </row>
    <row r="9" spans="1:17">
      <c r="A9" s="1100"/>
      <c r="B9" s="1587" t="s">
        <v>1995</v>
      </c>
      <c r="C9" s="31"/>
    </row>
    <row r="10" spans="1:17">
      <c r="A10" s="1100"/>
      <c r="C10" s="31"/>
    </row>
    <row r="11" spans="1:17">
      <c r="A11" s="1100" t="s">
        <v>718</v>
      </c>
      <c r="B11" s="586"/>
      <c r="C11" s="433"/>
      <c r="D11" s="586"/>
      <c r="E11" s="2012" t="s">
        <v>2003</v>
      </c>
      <c r="F11" s="2013"/>
      <c r="G11" s="2013"/>
      <c r="H11" s="2013"/>
      <c r="I11" s="2014"/>
    </row>
    <row r="12" spans="1:17" ht="42.75" customHeight="1">
      <c r="A12" s="1100" t="s">
        <v>718</v>
      </c>
      <c r="B12" s="434"/>
      <c r="C12" s="435"/>
      <c r="D12" s="436"/>
      <c r="E12" s="1984" t="s">
        <v>1998</v>
      </c>
      <c r="F12" s="1546"/>
      <c r="G12" s="1489"/>
      <c r="H12" s="1981" t="s">
        <v>149</v>
      </c>
      <c r="I12" s="1981" t="s">
        <v>1999</v>
      </c>
    </row>
    <row r="13" spans="1:17" ht="52.5">
      <c r="A13" s="1100" t="s">
        <v>718</v>
      </c>
      <c r="B13" s="434"/>
      <c r="C13" s="435"/>
      <c r="D13" s="438" t="s">
        <v>551</v>
      </c>
      <c r="E13" s="1985"/>
      <c r="F13" s="613" t="s">
        <v>1741</v>
      </c>
      <c r="G13" s="613" t="s">
        <v>694</v>
      </c>
      <c r="H13" s="1983"/>
      <c r="I13" s="1983"/>
    </row>
    <row r="14" spans="1:17" ht="21">
      <c r="A14" s="1100"/>
      <c r="B14" s="434"/>
      <c r="C14" s="435"/>
      <c r="D14" s="438"/>
      <c r="E14" s="584" t="s">
        <v>2000</v>
      </c>
      <c r="F14" s="1516" t="s">
        <v>2001</v>
      </c>
      <c r="G14" s="584" t="s">
        <v>2002</v>
      </c>
      <c r="H14" s="584" t="s">
        <v>603</v>
      </c>
      <c r="I14" s="1518" t="s">
        <v>602</v>
      </c>
    </row>
    <row r="15" spans="1:17">
      <c r="A15" s="1100" t="s">
        <v>718</v>
      </c>
      <c r="B15" s="439"/>
      <c r="C15" s="440"/>
      <c r="D15" s="440"/>
      <c r="E15" s="1582" t="s">
        <v>292</v>
      </c>
      <c r="F15" s="1588" t="s">
        <v>1723</v>
      </c>
      <c r="G15" s="1582" t="s">
        <v>695</v>
      </c>
      <c r="H15" s="1582" t="s">
        <v>697</v>
      </c>
      <c r="I15" s="1582" t="s">
        <v>699</v>
      </c>
    </row>
    <row r="16" spans="1:17">
      <c r="A16" s="1156" t="str">
        <f>$A$1&amp;"_"&amp;B16</f>
        <v>F-06.01_010</v>
      </c>
      <c r="B16" s="432" t="s">
        <v>292</v>
      </c>
      <c r="C16" s="219" t="s">
        <v>182</v>
      </c>
      <c r="D16" s="204" t="s">
        <v>371</v>
      </c>
      <c r="E16" s="900"/>
      <c r="F16" s="900"/>
      <c r="G16" s="900"/>
      <c r="H16" s="948"/>
      <c r="I16" s="948"/>
    </row>
    <row r="17" spans="1:9">
      <c r="A17" s="1156" t="str">
        <f t="shared" ref="A17:A35" si="1">$A$1&amp;"_"&amp;B17</f>
        <v>F-06.01_020</v>
      </c>
      <c r="B17" s="432" t="s">
        <v>293</v>
      </c>
      <c r="C17" s="220" t="s">
        <v>183</v>
      </c>
      <c r="D17" s="160" t="s">
        <v>371</v>
      </c>
      <c r="E17" s="901"/>
      <c r="F17" s="901"/>
      <c r="G17" s="901"/>
      <c r="H17" s="948"/>
      <c r="I17" s="948"/>
    </row>
    <row r="18" spans="1:9">
      <c r="A18" s="1156" t="str">
        <f t="shared" si="1"/>
        <v>F-06.01_030</v>
      </c>
      <c r="B18" s="432" t="s">
        <v>294</v>
      </c>
      <c r="C18" s="220" t="s">
        <v>184</v>
      </c>
      <c r="D18" s="160" t="s">
        <v>371</v>
      </c>
      <c r="E18" s="901"/>
      <c r="F18" s="901"/>
      <c r="G18" s="901"/>
      <c r="H18" s="948"/>
      <c r="I18" s="948"/>
    </row>
    <row r="19" spans="1:9">
      <c r="A19" s="1156" t="str">
        <f t="shared" si="1"/>
        <v>F-06.01_040</v>
      </c>
      <c r="B19" s="432" t="s">
        <v>295</v>
      </c>
      <c r="C19" s="220" t="s">
        <v>185</v>
      </c>
      <c r="D19" s="160" t="s">
        <v>371</v>
      </c>
      <c r="E19" s="901"/>
      <c r="F19" s="901"/>
      <c r="G19" s="901"/>
      <c r="H19" s="948"/>
      <c r="I19" s="948"/>
    </row>
    <row r="20" spans="1:9">
      <c r="A20" s="1156" t="str">
        <f t="shared" si="1"/>
        <v>F-06.01_050</v>
      </c>
      <c r="B20" s="432" t="s">
        <v>296</v>
      </c>
      <c r="C20" s="220" t="s">
        <v>186</v>
      </c>
      <c r="D20" s="160" t="s">
        <v>371</v>
      </c>
      <c r="E20" s="901"/>
      <c r="F20" s="901"/>
      <c r="G20" s="901"/>
      <c r="H20" s="948"/>
      <c r="I20" s="948"/>
    </row>
    <row r="21" spans="1:9">
      <c r="A21" s="1156" t="str">
        <f t="shared" si="1"/>
        <v>F-06.01_060</v>
      </c>
      <c r="B21" s="432" t="s">
        <v>297</v>
      </c>
      <c r="C21" s="220" t="s">
        <v>187</v>
      </c>
      <c r="D21" s="160" t="s">
        <v>371</v>
      </c>
      <c r="E21" s="901"/>
      <c r="F21" s="901"/>
      <c r="G21" s="901"/>
      <c r="H21" s="948"/>
      <c r="I21" s="948"/>
    </row>
    <row r="22" spans="1:9">
      <c r="A22" s="1156" t="str">
        <f t="shared" si="1"/>
        <v>F-06.01_070</v>
      </c>
      <c r="B22" s="432" t="s">
        <v>298</v>
      </c>
      <c r="C22" s="220" t="s">
        <v>188</v>
      </c>
      <c r="D22" s="160" t="s">
        <v>371</v>
      </c>
      <c r="E22" s="901"/>
      <c r="F22" s="901"/>
      <c r="G22" s="901"/>
      <c r="H22" s="948"/>
      <c r="I22" s="948"/>
    </row>
    <row r="23" spans="1:9">
      <c r="A23" s="1156" t="str">
        <f t="shared" si="1"/>
        <v>F-06.01_080</v>
      </c>
      <c r="B23" s="432" t="s">
        <v>299</v>
      </c>
      <c r="C23" s="220" t="s">
        <v>499</v>
      </c>
      <c r="D23" s="160" t="s">
        <v>371</v>
      </c>
      <c r="E23" s="901"/>
      <c r="F23" s="901"/>
      <c r="G23" s="901"/>
      <c r="H23" s="948"/>
      <c r="I23" s="948"/>
    </row>
    <row r="24" spans="1:9">
      <c r="A24" s="1156" t="str">
        <f t="shared" si="1"/>
        <v>F-06.01_090</v>
      </c>
      <c r="B24" s="432" t="s">
        <v>300</v>
      </c>
      <c r="C24" s="220" t="s">
        <v>190</v>
      </c>
      <c r="D24" s="160" t="s">
        <v>371</v>
      </c>
      <c r="E24" s="901"/>
      <c r="F24" s="901"/>
      <c r="G24" s="901"/>
      <c r="H24" s="948"/>
      <c r="I24" s="948"/>
    </row>
    <row r="25" spans="1:9">
      <c r="A25" s="1156" t="str">
        <f t="shared" si="1"/>
        <v>F-06.01_100</v>
      </c>
      <c r="B25" s="432" t="s">
        <v>301</v>
      </c>
      <c r="C25" s="220" t="s">
        <v>191</v>
      </c>
      <c r="D25" s="160" t="s">
        <v>371</v>
      </c>
      <c r="E25" s="901"/>
      <c r="F25" s="901"/>
      <c r="G25" s="901"/>
      <c r="H25" s="948"/>
      <c r="I25" s="948"/>
    </row>
    <row r="26" spans="1:9">
      <c r="A26" s="1156" t="str">
        <f t="shared" si="1"/>
        <v>F-06.01_105</v>
      </c>
      <c r="B26" s="560">
        <v>105</v>
      </c>
      <c r="C26" s="274" t="s">
        <v>1739</v>
      </c>
      <c r="D26" s="160" t="s">
        <v>1996</v>
      </c>
      <c r="E26" s="901"/>
      <c r="F26" s="901"/>
      <c r="G26" s="901"/>
      <c r="H26" s="948"/>
      <c r="I26" s="948"/>
    </row>
    <row r="27" spans="1:9">
      <c r="A27" s="1156" t="str">
        <f t="shared" si="1"/>
        <v>F-06.01_110</v>
      </c>
      <c r="B27" s="432" t="s">
        <v>302</v>
      </c>
      <c r="C27" s="220" t="s">
        <v>192</v>
      </c>
      <c r="D27" s="160" t="s">
        <v>371</v>
      </c>
      <c r="E27" s="901"/>
      <c r="F27" s="901"/>
      <c r="G27" s="901"/>
      <c r="H27" s="948"/>
      <c r="I27" s="948"/>
    </row>
    <row r="28" spans="1:9">
      <c r="A28" s="1156" t="str">
        <f t="shared" si="1"/>
        <v>F-06.01_120</v>
      </c>
      <c r="B28" s="432" t="s">
        <v>303</v>
      </c>
      <c r="C28" s="220" t="s">
        <v>249</v>
      </c>
      <c r="D28" s="160" t="s">
        <v>371</v>
      </c>
      <c r="E28" s="901"/>
      <c r="F28" s="901"/>
      <c r="G28" s="901"/>
      <c r="H28" s="948"/>
      <c r="I28" s="948"/>
    </row>
    <row r="29" spans="1:9">
      <c r="A29" s="1156" t="str">
        <f t="shared" si="1"/>
        <v>F-06.01_130</v>
      </c>
      <c r="B29" s="432" t="s">
        <v>304</v>
      </c>
      <c r="C29" s="220" t="s">
        <v>250</v>
      </c>
      <c r="D29" s="160" t="s">
        <v>371</v>
      </c>
      <c r="E29" s="901"/>
      <c r="F29" s="901"/>
      <c r="G29" s="901"/>
      <c r="H29" s="948"/>
      <c r="I29" s="948"/>
    </row>
    <row r="30" spans="1:9" ht="21">
      <c r="A30" s="1156" t="str">
        <f t="shared" si="1"/>
        <v>F-06.01_140</v>
      </c>
      <c r="B30" s="432" t="s">
        <v>305</v>
      </c>
      <c r="C30" s="220" t="s">
        <v>251</v>
      </c>
      <c r="D30" s="160" t="s">
        <v>371</v>
      </c>
      <c r="E30" s="901"/>
      <c r="F30" s="901"/>
      <c r="G30" s="901"/>
      <c r="H30" s="948"/>
      <c r="I30" s="948"/>
    </row>
    <row r="31" spans="1:9">
      <c r="A31" s="1156" t="str">
        <f t="shared" si="1"/>
        <v>F-06.01_150</v>
      </c>
      <c r="B31" s="432" t="s">
        <v>306</v>
      </c>
      <c r="C31" s="220" t="s">
        <v>252</v>
      </c>
      <c r="D31" s="160" t="s">
        <v>371</v>
      </c>
      <c r="E31" s="901"/>
      <c r="F31" s="901"/>
      <c r="G31" s="901"/>
      <c r="H31" s="948"/>
      <c r="I31" s="948"/>
    </row>
    <row r="32" spans="1:9">
      <c r="A32" s="1156" t="str">
        <f t="shared" si="1"/>
        <v>F-06.01_160</v>
      </c>
      <c r="B32" s="432" t="s">
        <v>307</v>
      </c>
      <c r="C32" s="220" t="s">
        <v>253</v>
      </c>
      <c r="D32" s="160" t="s">
        <v>371</v>
      </c>
      <c r="E32" s="901"/>
      <c r="F32" s="901"/>
      <c r="G32" s="901"/>
      <c r="H32" s="948"/>
      <c r="I32" s="948"/>
    </row>
    <row r="33" spans="1:10">
      <c r="A33" s="1156" t="str">
        <f t="shared" si="1"/>
        <v>F-06.01_170</v>
      </c>
      <c r="B33" s="432" t="s">
        <v>308</v>
      </c>
      <c r="C33" s="220" t="s">
        <v>254</v>
      </c>
      <c r="D33" s="160" t="s">
        <v>371</v>
      </c>
      <c r="E33" s="901"/>
      <c r="F33" s="901"/>
      <c r="G33" s="901"/>
      <c r="H33" s="948"/>
      <c r="I33" s="948"/>
    </row>
    <row r="34" spans="1:10">
      <c r="A34" s="1156" t="str">
        <f t="shared" si="1"/>
        <v>F-06.01_180</v>
      </c>
      <c r="B34" s="432" t="s">
        <v>309</v>
      </c>
      <c r="C34" s="220" t="s">
        <v>255</v>
      </c>
      <c r="D34" s="160" t="s">
        <v>371</v>
      </c>
      <c r="E34" s="901"/>
      <c r="F34" s="901"/>
      <c r="G34" s="901"/>
      <c r="H34" s="948"/>
      <c r="I34" s="948"/>
    </row>
    <row r="35" spans="1:10">
      <c r="A35" s="1156" t="str">
        <f t="shared" si="1"/>
        <v>F-06.01_190</v>
      </c>
      <c r="B35" s="432">
        <v>190</v>
      </c>
      <c r="C35" s="277" t="s">
        <v>473</v>
      </c>
      <c r="D35" s="278" t="s">
        <v>1997</v>
      </c>
      <c r="E35" s="703">
        <f>SUM(E$16:E$34)</f>
        <v>0</v>
      </c>
      <c r="F35" s="703">
        <f t="shared" ref="F35:I35" si="2">SUM(F$16:F$34)</f>
        <v>0</v>
      </c>
      <c r="G35" s="703">
        <f t="shared" si="2"/>
        <v>0</v>
      </c>
      <c r="H35" s="703">
        <f t="shared" si="2"/>
        <v>0</v>
      </c>
      <c r="I35" s="703">
        <f t="shared" si="2"/>
        <v>0</v>
      </c>
    </row>
    <row r="36" spans="1:10">
      <c r="A36" s="1100" t="s">
        <v>718</v>
      </c>
      <c r="C36" s="837">
        <f>IF($F16&lt;=$E16,0,"C11&lt;=C10")</f>
        <v>0</v>
      </c>
      <c r="D36" s="837">
        <f>IF($G$16&lt;=$E$16,0,"C12&lt;=C10")</f>
        <v>0</v>
      </c>
      <c r="E36" s="837">
        <f>IF(E$16&gt;=0,0,"F6,c10&gt;=0")</f>
        <v>0</v>
      </c>
      <c r="F36" s="837">
        <f>IF(F16&gt;=0,0,"F6,c20&gt;=0")</f>
        <v>0</v>
      </c>
      <c r="G36" s="837">
        <f>IF($G$16&gt;=0,0,"F6,c12&gt;=0")</f>
        <v>0</v>
      </c>
      <c r="H36" s="837">
        <f>IF(H16&lt;=0,0,"F6,c21&lt;=0")</f>
        <v>0</v>
      </c>
      <c r="I36" s="837">
        <f>IF(I16&lt;=0,0,"F6,c22&lt;=0")</f>
        <v>0</v>
      </c>
    </row>
    <row r="37" spans="1:10">
      <c r="A37" s="1100" t="s">
        <v>718</v>
      </c>
      <c r="C37" s="837">
        <f t="shared" ref="C37:C55" si="3">IF($F17&lt;=$E17,0,"C11&lt;=C10")</f>
        <v>0</v>
      </c>
      <c r="D37" s="837">
        <f>IF($G$17&lt;=$E$17,0,"C12&lt;=C10")</f>
        <v>0</v>
      </c>
      <c r="E37" s="837">
        <f>IF($E$17&gt;=0,0,"F6,c10&gt;=0")</f>
        <v>0</v>
      </c>
      <c r="F37" s="837">
        <f t="shared" ref="F37:F55" si="4">IF(F17&gt;=0,0,"F6,c20&gt;=0")</f>
        <v>0</v>
      </c>
      <c r="G37" s="837">
        <f>IF($G$17&gt;=0,0,"F6,c12&gt;=0")</f>
        <v>0</v>
      </c>
      <c r="H37" s="837">
        <f t="shared" ref="H37:H55" si="5">IF(H17&lt;=0,0,"F6,c21&lt;=0")</f>
        <v>0</v>
      </c>
      <c r="I37" s="837">
        <f t="shared" ref="I37:I55" si="6">IF(I17&lt;=0,0,"F6,c22&lt;=0")</f>
        <v>0</v>
      </c>
      <c r="J37" s="837"/>
    </row>
    <row r="38" spans="1:10">
      <c r="A38" s="1100" t="s">
        <v>718</v>
      </c>
      <c r="C38" s="837">
        <f t="shared" si="3"/>
        <v>0</v>
      </c>
      <c r="D38" s="837">
        <f>IF($G$18&lt;=$E$18,0,"C12&lt;=C10")</f>
        <v>0</v>
      </c>
      <c r="E38" s="837">
        <f>IF($E$18&gt;=0,0,"F6,c10&gt;=0")</f>
        <v>0</v>
      </c>
      <c r="F38" s="837">
        <f t="shared" si="4"/>
        <v>0</v>
      </c>
      <c r="G38" s="837">
        <f>IF($G$18&gt;=0,0,"F6,c12&gt;=0")</f>
        <v>0</v>
      </c>
      <c r="H38" s="837">
        <f t="shared" si="5"/>
        <v>0</v>
      </c>
      <c r="I38" s="837">
        <f t="shared" si="6"/>
        <v>0</v>
      </c>
      <c r="J38" s="837"/>
    </row>
    <row r="39" spans="1:10">
      <c r="A39" s="1100" t="s">
        <v>718</v>
      </c>
      <c r="C39" s="837">
        <f t="shared" si="3"/>
        <v>0</v>
      </c>
      <c r="D39" s="837">
        <f>IF($G$19&lt;=$E$19,0,"C12&lt;=C10")</f>
        <v>0</v>
      </c>
      <c r="E39" s="837">
        <f>IF($E$19&gt;=0,0,"F6,c10&gt;=0")</f>
        <v>0</v>
      </c>
      <c r="F39" s="837">
        <f t="shared" si="4"/>
        <v>0</v>
      </c>
      <c r="G39" s="837">
        <f>IF($G$19&gt;=0,0,"F6,c12&gt;=0")</f>
        <v>0</v>
      </c>
      <c r="H39" s="837">
        <f t="shared" si="5"/>
        <v>0</v>
      </c>
      <c r="I39" s="837">
        <f t="shared" si="6"/>
        <v>0</v>
      </c>
      <c r="J39" s="837"/>
    </row>
    <row r="40" spans="1:10">
      <c r="A40" s="1100" t="s">
        <v>718</v>
      </c>
      <c r="C40" s="837">
        <f t="shared" si="3"/>
        <v>0</v>
      </c>
      <c r="D40" s="837">
        <f>IF($G$20&lt;=$E$20,0,"C12&lt;=C10")</f>
        <v>0</v>
      </c>
      <c r="E40" s="837">
        <f>IF($E$20&gt;=0,0,"F6,c10&gt;=0")</f>
        <v>0</v>
      </c>
      <c r="F40" s="837">
        <f t="shared" si="4"/>
        <v>0</v>
      </c>
      <c r="G40" s="837">
        <f>IF($G$20&gt;=0,0,"F6,c12&gt;=0")</f>
        <v>0</v>
      </c>
      <c r="H40" s="837">
        <f t="shared" si="5"/>
        <v>0</v>
      </c>
      <c r="I40" s="837">
        <f t="shared" si="6"/>
        <v>0</v>
      </c>
      <c r="J40" s="837"/>
    </row>
    <row r="41" spans="1:10">
      <c r="A41" s="1100" t="s">
        <v>718</v>
      </c>
      <c r="C41" s="837">
        <f t="shared" si="3"/>
        <v>0</v>
      </c>
      <c r="D41" s="837">
        <f>IF($G$21&lt;=$E$21,0,"C12&lt;=C10")</f>
        <v>0</v>
      </c>
      <c r="E41" s="837">
        <f>IF($E$21&gt;=0,0,"F6,c10&gt;=0")</f>
        <v>0</v>
      </c>
      <c r="F41" s="837">
        <f t="shared" si="4"/>
        <v>0</v>
      </c>
      <c r="G41" s="837">
        <f>IF($G$21&gt;=0,0,"F6,c12&gt;=0")</f>
        <v>0</v>
      </c>
      <c r="H41" s="837">
        <f t="shared" si="5"/>
        <v>0</v>
      </c>
      <c r="I41" s="837">
        <f t="shared" si="6"/>
        <v>0</v>
      </c>
      <c r="J41" s="837"/>
    </row>
    <row r="42" spans="1:10">
      <c r="A42" s="1100" t="s">
        <v>718</v>
      </c>
      <c r="C42" s="837">
        <f t="shared" si="3"/>
        <v>0</v>
      </c>
      <c r="D42" s="837">
        <f>IF($G$22&lt;=$E$22,0,"C12&lt;=C10")</f>
        <v>0</v>
      </c>
      <c r="E42" s="837">
        <f>IF($E$22&gt;=0,0,"F6,c10&gt;=0")</f>
        <v>0</v>
      </c>
      <c r="F42" s="837">
        <f t="shared" si="4"/>
        <v>0</v>
      </c>
      <c r="G42" s="837">
        <f>IF($G$22&gt;=0,0,"F6,c12&gt;=0")</f>
        <v>0</v>
      </c>
      <c r="H42" s="837">
        <f t="shared" si="5"/>
        <v>0</v>
      </c>
      <c r="I42" s="837">
        <f t="shared" si="6"/>
        <v>0</v>
      </c>
      <c r="J42" s="837"/>
    </row>
    <row r="43" spans="1:10">
      <c r="A43" s="1100" t="s">
        <v>718</v>
      </c>
      <c r="C43" s="837">
        <f t="shared" si="3"/>
        <v>0</v>
      </c>
      <c r="D43" s="837">
        <f>IF($G$23&lt;=$E$23,0,"C12&lt;=C10")</f>
        <v>0</v>
      </c>
      <c r="E43" s="837">
        <f>IF($E$23&gt;=0,0,"F6,c10&gt;=0")</f>
        <v>0</v>
      </c>
      <c r="F43" s="837">
        <f t="shared" si="4"/>
        <v>0</v>
      </c>
      <c r="G43" s="837">
        <f>IF($G$23&gt;=0,0,"F6,c12&gt;=0")</f>
        <v>0</v>
      </c>
      <c r="H43" s="837">
        <f t="shared" si="5"/>
        <v>0</v>
      </c>
      <c r="I43" s="837">
        <f t="shared" si="6"/>
        <v>0</v>
      </c>
      <c r="J43" s="837"/>
    </row>
    <row r="44" spans="1:10">
      <c r="A44" s="1100" t="s">
        <v>718</v>
      </c>
      <c r="C44" s="837">
        <f t="shared" si="3"/>
        <v>0</v>
      </c>
      <c r="D44" s="837">
        <f>IF($G$24&lt;=$E$24,0,"C12&lt;=C10")</f>
        <v>0</v>
      </c>
      <c r="E44" s="837">
        <f>IF($E$24&gt;=0,0,"F6,c10&gt;=0")</f>
        <v>0</v>
      </c>
      <c r="F44" s="837">
        <f t="shared" si="4"/>
        <v>0</v>
      </c>
      <c r="G44" s="837">
        <f>IF($G$24&gt;=0,0,"F6,c12&gt;=0")</f>
        <v>0</v>
      </c>
      <c r="H44" s="837">
        <f t="shared" si="5"/>
        <v>0</v>
      </c>
      <c r="I44" s="837">
        <f t="shared" si="6"/>
        <v>0</v>
      </c>
      <c r="J44" s="837"/>
    </row>
    <row r="45" spans="1:10">
      <c r="A45" s="1100" t="s">
        <v>718</v>
      </c>
      <c r="C45" s="837">
        <f t="shared" si="3"/>
        <v>0</v>
      </c>
      <c r="D45" s="837">
        <f>IF($G$25&lt;=$E$25,0,"C12&lt;=C10")</f>
        <v>0</v>
      </c>
      <c r="E45" s="837">
        <f>IF($E$25&gt;=0,0,"F6,c10&gt;=0")</f>
        <v>0</v>
      </c>
      <c r="F45" s="837">
        <f t="shared" si="4"/>
        <v>0</v>
      </c>
      <c r="G45" s="837">
        <f>IF($G$25&gt;=0,0,"F6,c12&gt;=0")</f>
        <v>0</v>
      </c>
      <c r="H45" s="837">
        <f t="shared" si="5"/>
        <v>0</v>
      </c>
      <c r="I45" s="837">
        <f t="shared" si="6"/>
        <v>0</v>
      </c>
      <c r="J45" s="837"/>
    </row>
    <row r="46" spans="1:10">
      <c r="A46" s="1100" t="s">
        <v>718</v>
      </c>
      <c r="C46" s="837">
        <f t="shared" si="3"/>
        <v>0</v>
      </c>
      <c r="D46" s="837">
        <f>IF($G$26&lt;=$E$26,0,"C12&lt;=C10")</f>
        <v>0</v>
      </c>
      <c r="E46" s="837">
        <f>IF($E$26&gt;=0,0,"F6,c10&gt;=0")</f>
        <v>0</v>
      </c>
      <c r="F46" s="837">
        <f t="shared" si="4"/>
        <v>0</v>
      </c>
      <c r="G46" s="837">
        <f>IF($G$26&gt;=0,0,"F6,c12&gt;=0")</f>
        <v>0</v>
      </c>
      <c r="H46" s="837">
        <f t="shared" si="5"/>
        <v>0</v>
      </c>
      <c r="I46" s="837">
        <f t="shared" si="6"/>
        <v>0</v>
      </c>
      <c r="J46" s="837"/>
    </row>
    <row r="47" spans="1:10">
      <c r="A47" s="1100" t="s">
        <v>718</v>
      </c>
      <c r="C47" s="837">
        <f t="shared" si="3"/>
        <v>0</v>
      </c>
      <c r="D47" s="837">
        <f>IF($G$27&lt;=$E$27,0,"C12&lt;=C10")</f>
        <v>0</v>
      </c>
      <c r="E47" s="837">
        <f>IF($E$27&gt;=0,0,"F6,c10&gt;=0")</f>
        <v>0</v>
      </c>
      <c r="F47" s="837">
        <f t="shared" si="4"/>
        <v>0</v>
      </c>
      <c r="G47" s="837">
        <f>IF($G$27&gt;=0,0,"F6,c12&gt;=0")</f>
        <v>0</v>
      </c>
      <c r="H47" s="837">
        <f t="shared" si="5"/>
        <v>0</v>
      </c>
      <c r="I47" s="837">
        <f t="shared" si="6"/>
        <v>0</v>
      </c>
      <c r="J47" s="837"/>
    </row>
    <row r="48" spans="1:10">
      <c r="A48" s="1100" t="s">
        <v>718</v>
      </c>
      <c r="C48" s="837">
        <f t="shared" si="3"/>
        <v>0</v>
      </c>
      <c r="D48" s="837">
        <f>IF($G$28&lt;=$E$28,0,"C12&lt;=C10")</f>
        <v>0</v>
      </c>
      <c r="E48" s="837">
        <f>IF($E$28&gt;=0,0,"F6,c10&gt;=0")</f>
        <v>0</v>
      </c>
      <c r="F48" s="837">
        <f t="shared" si="4"/>
        <v>0</v>
      </c>
      <c r="G48" s="837">
        <f>IF($G$28&gt;=0,0,"F6,c12&gt;=0")</f>
        <v>0</v>
      </c>
      <c r="H48" s="837">
        <f t="shared" si="5"/>
        <v>0</v>
      </c>
      <c r="I48" s="837">
        <f t="shared" si="6"/>
        <v>0</v>
      </c>
      <c r="J48" s="837"/>
    </row>
    <row r="49" spans="1:10">
      <c r="A49" s="1100" t="s">
        <v>718</v>
      </c>
      <c r="C49" s="837">
        <f t="shared" si="3"/>
        <v>0</v>
      </c>
      <c r="D49" s="837">
        <f>IF($G$29&lt;=$E$29,0,"C12&lt;=C10")</f>
        <v>0</v>
      </c>
      <c r="E49" s="837">
        <f>IF($E$29&gt;=0,0,"F6,c10&gt;=0")</f>
        <v>0</v>
      </c>
      <c r="F49" s="837">
        <f t="shared" si="4"/>
        <v>0</v>
      </c>
      <c r="G49" s="837">
        <f>IF($G$29&gt;=0,0,"F6,c12&gt;=0")</f>
        <v>0</v>
      </c>
      <c r="H49" s="837">
        <f t="shared" si="5"/>
        <v>0</v>
      </c>
      <c r="I49" s="837">
        <f t="shared" si="6"/>
        <v>0</v>
      </c>
      <c r="J49" s="837"/>
    </row>
    <row r="50" spans="1:10">
      <c r="A50" s="1100" t="s">
        <v>718</v>
      </c>
      <c r="C50" s="837">
        <f t="shared" si="3"/>
        <v>0</v>
      </c>
      <c r="D50" s="837">
        <f>IF($G$30&lt;=$E$30,0,"C12&lt;=C10")</f>
        <v>0</v>
      </c>
      <c r="E50" s="837">
        <f>IF($E$30&gt;=0,0,"F6,c10&gt;=0")</f>
        <v>0</v>
      </c>
      <c r="F50" s="837">
        <f t="shared" si="4"/>
        <v>0</v>
      </c>
      <c r="G50" s="837">
        <f>IF($G$30&gt;=0,0,"F6,c12&gt;=0")</f>
        <v>0</v>
      </c>
      <c r="H50" s="837">
        <f t="shared" si="5"/>
        <v>0</v>
      </c>
      <c r="I50" s="837">
        <f t="shared" si="6"/>
        <v>0</v>
      </c>
      <c r="J50" s="837"/>
    </row>
    <row r="51" spans="1:10">
      <c r="A51" s="1100" t="s">
        <v>718</v>
      </c>
      <c r="C51" s="837">
        <f t="shared" si="3"/>
        <v>0</v>
      </c>
      <c r="D51" s="837">
        <f>IF($G$31&lt;=$E$31,0,"C12&lt;=C10")</f>
        <v>0</v>
      </c>
      <c r="E51" s="837">
        <f>IF($E$31&gt;=0,0,"F6,c10&gt;=0")</f>
        <v>0</v>
      </c>
      <c r="F51" s="837">
        <f t="shared" si="4"/>
        <v>0</v>
      </c>
      <c r="G51" s="837">
        <f>IF($G$31&gt;=0,0,"F6,c12&gt;=0")</f>
        <v>0</v>
      </c>
      <c r="H51" s="837">
        <f t="shared" si="5"/>
        <v>0</v>
      </c>
      <c r="I51" s="837">
        <f t="shared" si="6"/>
        <v>0</v>
      </c>
      <c r="J51" s="837"/>
    </row>
    <row r="52" spans="1:10">
      <c r="A52" s="1100" t="s">
        <v>718</v>
      </c>
      <c r="C52" s="837">
        <f t="shared" si="3"/>
        <v>0</v>
      </c>
      <c r="D52" s="837">
        <f>IF($G$32&lt;=$E$32,0,"C12&lt;=C10")</f>
        <v>0</v>
      </c>
      <c r="E52" s="837">
        <f>IF($E$32&gt;=0,0,"F6,c10&gt;=0")</f>
        <v>0</v>
      </c>
      <c r="F52" s="837">
        <f t="shared" si="4"/>
        <v>0</v>
      </c>
      <c r="G52" s="837">
        <f>IF($G$32&gt;=0,0,"F6,c12&gt;=0")</f>
        <v>0</v>
      </c>
      <c r="H52" s="837">
        <f t="shared" si="5"/>
        <v>0</v>
      </c>
      <c r="I52" s="837">
        <f t="shared" si="6"/>
        <v>0</v>
      </c>
      <c r="J52" s="837"/>
    </row>
    <row r="53" spans="1:10">
      <c r="A53" s="1100" t="s">
        <v>718</v>
      </c>
      <c r="C53" s="837">
        <f t="shared" si="3"/>
        <v>0</v>
      </c>
      <c r="D53" s="837">
        <f>IF($G$33&lt;=$E$33,0,"C12&lt;=C10")</f>
        <v>0</v>
      </c>
      <c r="E53" s="837">
        <f>IF($E$33&gt;=0,0,"F6,c10&gt;=0")</f>
        <v>0</v>
      </c>
      <c r="F53" s="837">
        <f t="shared" si="4"/>
        <v>0</v>
      </c>
      <c r="G53" s="837">
        <f>IF($G$33&gt;=0,0,"F6,c12&gt;=0")</f>
        <v>0</v>
      </c>
      <c r="H53" s="837">
        <f t="shared" si="5"/>
        <v>0</v>
      </c>
      <c r="I53" s="837">
        <f t="shared" si="6"/>
        <v>0</v>
      </c>
      <c r="J53" s="837"/>
    </row>
    <row r="54" spans="1:10">
      <c r="A54" s="1100" t="s">
        <v>718</v>
      </c>
      <c r="C54" s="837">
        <f t="shared" si="3"/>
        <v>0</v>
      </c>
      <c r="D54" s="837">
        <f>IF($G$34&lt;=$E$34,0,"C12&lt;=C10")</f>
        <v>0</v>
      </c>
      <c r="E54" s="837">
        <f>IF($E$34&gt;=0,0,"F6,c10&gt;=0")</f>
        <v>0</v>
      </c>
      <c r="F54" s="837">
        <f t="shared" si="4"/>
        <v>0</v>
      </c>
      <c r="G54" s="837">
        <f>IF($G$34&gt;=0,0,"F6,c12&gt;=0")</f>
        <v>0</v>
      </c>
      <c r="H54" s="837">
        <f t="shared" si="5"/>
        <v>0</v>
      </c>
      <c r="I54" s="837">
        <f t="shared" si="6"/>
        <v>0</v>
      </c>
      <c r="J54" s="837"/>
    </row>
    <row r="55" spans="1:10">
      <c r="A55" s="1100" t="s">
        <v>718</v>
      </c>
      <c r="C55" s="837">
        <f t="shared" si="3"/>
        <v>0</v>
      </c>
      <c r="D55" s="837">
        <f>IF($G$35&lt;=$E$35,0,"C12&lt;=C10")</f>
        <v>0</v>
      </c>
      <c r="E55" s="837">
        <f>IF($E$35&gt;=0,0,"F6,c10&gt;=0")</f>
        <v>0</v>
      </c>
      <c r="F55" s="837">
        <f t="shared" si="4"/>
        <v>0</v>
      </c>
      <c r="G55" s="837">
        <f>IF($G$35&gt;=0,0,"F6,c12&gt;=0")</f>
        <v>0</v>
      </c>
      <c r="H55" s="837">
        <f t="shared" si="5"/>
        <v>0</v>
      </c>
      <c r="I55" s="837">
        <f t="shared" si="6"/>
        <v>0</v>
      </c>
      <c r="J55" s="837"/>
    </row>
    <row r="56" spans="1:10">
      <c r="A56" s="1156" t="s">
        <v>724</v>
      </c>
      <c r="E56" s="1661">
        <f>IF((E35=SUM('4'!E61-'4'!F61+'4'!E87-'4'!F87)+SUM('4'!F119,'4'!H119,'4'!I119)+SUM('4'!F153,'4'!H153,'4'!I153)),0,"{F 06.01, r190, c010} = {F 04.02.1, r160, c010} - {F 04.02.1, r160, c020} + {F 04.02.2, r160, c010} - {F 04.02.2, r160, c020} + sum({F 04.03.1, r160, (c015, c030, c040)}) + sum({F 04.04.1, r120, (c015, c030, c040)})")</f>
        <v>0</v>
      </c>
      <c r="F56" s="608"/>
      <c r="G56" s="608"/>
      <c r="H56" s="608"/>
      <c r="I56" s="608"/>
    </row>
    <row r="57" spans="1:10">
      <c r="E57" s="608"/>
      <c r="F57" s="1661">
        <f>IF(F35=SUM('4'!F119,'4'!H119,'4'!I119)+SUM('4'!F153,'4'!H153,'4'!I153),0,"{F 06.01, r190, c011} = sum({F 04.03.1, r160, (c015, c030, c040)}) + sum({F 04.04.1, r120, (c015, c030, c040)})")</f>
        <v>0</v>
      </c>
      <c r="G57" s="608"/>
      <c r="H57" s="608"/>
      <c r="I57" s="608"/>
    </row>
    <row r="58" spans="1:10">
      <c r="E58" s="608"/>
      <c r="F58" s="608"/>
      <c r="G58" s="608"/>
      <c r="H58" s="1661">
        <f>IF(H35=SUM('4'!J119:L119)+SUM('4'!J153:L153),0,"{F 06.01, r190, c021} = sum({F 04.03.1, r160, (c050, c060, c070)}) + sum({F 04.04.1, r120, (c050, c060, c070)})")</f>
        <v>0</v>
      </c>
      <c r="I58" s="1661"/>
    </row>
    <row r="59" spans="1:10">
      <c r="E59" s="608"/>
      <c r="F59" s="608"/>
      <c r="G59" s="608"/>
      <c r="H59" s="608"/>
      <c r="I59" s="1661">
        <f>IF(I35=SUM('4'!F61+'4'!F87),0,"{F 06.01, r190, c022} = {F 04.02.1, r160, c020} + {F 04.02.2, r160, c020}")</f>
        <v>0</v>
      </c>
    </row>
  </sheetData>
  <sheetProtection password="C2F4" sheet="1" objects="1" scenarios="1"/>
  <mergeCells count="4">
    <mergeCell ref="E12:E13"/>
    <mergeCell ref="H12:H13"/>
    <mergeCell ref="I12:I13"/>
    <mergeCell ref="E11:I11"/>
  </mergeCells>
  <dataValidations count="2">
    <dataValidation type="whole" allowBlank="1" showInputMessage="1" showErrorMessage="1" error="wrong number format or sign" sqref="E16:E35 F16:G34 F35:I35">
      <formula1>0</formula1>
      <formula2>99999999</formula2>
    </dataValidation>
    <dataValidation type="whole" allowBlank="1" showInputMessage="1" showErrorMessage="1" error="wrong number format or sign" sqref="H16:I34">
      <formula1>-99999999</formula1>
      <formula2>0</formula2>
    </dataValidation>
  </dataValidations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scale="64" orientation="landscape" cellComments="asDisplayed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R82"/>
  <sheetViews>
    <sheetView topLeftCell="B6" zoomScaleNormal="100" zoomScaleSheetLayoutView="100" workbookViewId="0">
      <selection activeCell="B6" sqref="B6"/>
    </sheetView>
  </sheetViews>
  <sheetFormatPr defaultColWidth="9.140625" defaultRowHeight="12.75"/>
  <cols>
    <col min="1" max="1" width="13.5703125" style="1156" hidden="1" customWidth="1"/>
    <col min="2" max="2" width="5.7109375" style="30" customWidth="1"/>
    <col min="3" max="3" width="46.85546875" style="30" customWidth="1"/>
    <col min="4" max="4" width="21.140625" style="30" customWidth="1"/>
    <col min="5" max="13" width="12.7109375" style="30" customWidth="1"/>
    <col min="14" max="14" width="13.85546875" style="30" customWidth="1"/>
    <col min="15" max="15" width="19.7109375" style="30" customWidth="1"/>
    <col min="16" max="16" width="29.28515625" style="30" customWidth="1"/>
    <col min="17" max="17" width="25.42578125" style="30" customWidth="1"/>
    <col min="18" max="18" width="22.42578125" style="30" customWidth="1"/>
    <col min="19" max="16384" width="9.140625" style="30"/>
  </cols>
  <sheetData>
    <row r="1" spans="1:18" s="1097" customFormat="1" ht="18" hidden="1" customHeight="1">
      <c r="A1" s="1096" t="s">
        <v>2204</v>
      </c>
      <c r="B1" s="1118">
        <v>2</v>
      </c>
      <c r="C1" s="1118">
        <v>1</v>
      </c>
      <c r="D1" s="1119">
        <v>16</v>
      </c>
      <c r="E1" s="1182">
        <v>5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18" s="1097" customFormat="1" ht="18" hidden="1" customHeight="1">
      <c r="A2" s="1096" t="str">
        <f>Index!$A$2</f>
        <v>V20181222</v>
      </c>
      <c r="B2" s="1098"/>
      <c r="C2" s="1099"/>
      <c r="D2" s="1100"/>
      <c r="E2" s="1100" t="str">
        <f t="shared" ref="E2:M2" si="0">$A$1&amp;"_"&amp;E15</f>
        <v>F-07.01_010</v>
      </c>
      <c r="F2" s="1100" t="str">
        <f t="shared" si="0"/>
        <v>F-07.01_020</v>
      </c>
      <c r="G2" s="1100" t="str">
        <f t="shared" si="0"/>
        <v>F-07.01_030</v>
      </c>
      <c r="H2" s="1100" t="str">
        <f t="shared" si="0"/>
        <v>F-07.01_040</v>
      </c>
      <c r="I2" s="1100" t="str">
        <f t="shared" si="0"/>
        <v>F-07.01_050</v>
      </c>
      <c r="J2" s="1100" t="str">
        <f t="shared" si="0"/>
        <v>F-07.01_060</v>
      </c>
      <c r="K2" s="1100" t="str">
        <f t="shared" si="0"/>
        <v>F-07.01_070</v>
      </c>
      <c r="L2" s="1100" t="str">
        <f t="shared" si="0"/>
        <v>F-07.01_080</v>
      </c>
      <c r="M2" s="1100" t="str">
        <f t="shared" si="0"/>
        <v>F-07.01_090</v>
      </c>
      <c r="N2" s="1100"/>
      <c r="O2" s="1100"/>
    </row>
    <row r="3" spans="1:18" s="1097" customFormat="1" ht="18" hidden="1" customHeight="1">
      <c r="A3" s="1096" t="str">
        <f>"R:A1:P"&amp;ROW(A76)+1</f>
        <v>R:A1:P77</v>
      </c>
      <c r="B3" s="1102"/>
      <c r="C3" s="1103"/>
      <c r="D3" s="1104"/>
      <c r="E3" s="1105"/>
      <c r="F3" s="1106"/>
      <c r="G3" s="1107"/>
      <c r="H3" s="1107"/>
      <c r="I3" s="1107"/>
      <c r="J3" s="1107"/>
      <c r="K3" s="1107"/>
    </row>
    <row r="4" spans="1:18" s="1097" customFormat="1" ht="18" hidden="1" customHeight="1">
      <c r="A4" s="1096"/>
      <c r="B4" s="1102"/>
      <c r="C4" s="1103"/>
      <c r="D4" s="1108"/>
      <c r="E4" s="1109"/>
      <c r="F4" s="1110"/>
      <c r="G4" s="1111">
        <f>N5</f>
        <v>0</v>
      </c>
      <c r="H4" s="1107"/>
      <c r="I4" s="1107"/>
      <c r="J4" s="1107"/>
      <c r="K4" s="1107"/>
    </row>
    <row r="5" spans="1:18" s="1097" customFormat="1" ht="18" hidden="1" customHeight="1">
      <c r="A5" s="1096"/>
      <c r="B5" s="1102"/>
      <c r="C5" s="1103"/>
      <c r="D5" s="1112"/>
      <c r="E5" s="1113"/>
      <c r="F5" s="1114"/>
      <c r="N5" s="1097">
        <f>COUNTIF(E43:O83,"&lt;&gt;0")-COUNTBLANK(E43:O83)+COUNTIF(P16:R42,"&lt;&gt;0")-COUNTBLANK(P16:R42)</f>
        <v>0</v>
      </c>
    </row>
    <row r="6" spans="1:18" s="1116" customFormat="1">
      <c r="A6" s="1100" t="s">
        <v>718</v>
      </c>
      <c r="B6" s="1115"/>
    </row>
    <row r="7" spans="1:18">
      <c r="A7" s="1100" t="s">
        <v>718</v>
      </c>
      <c r="B7" s="269" t="s">
        <v>1974</v>
      </c>
      <c r="C7" s="1"/>
      <c r="D7" s="1"/>
      <c r="E7" s="1"/>
      <c r="F7" s="1"/>
      <c r="G7" s="1"/>
    </row>
    <row r="8" spans="1:18">
      <c r="A8" s="1100"/>
      <c r="B8" s="269"/>
      <c r="C8" s="1"/>
      <c r="D8" s="1"/>
      <c r="E8" s="1"/>
      <c r="F8" s="1"/>
      <c r="G8" s="1"/>
    </row>
    <row r="9" spans="1:18">
      <c r="A9" s="1100"/>
      <c r="B9" s="1" t="s">
        <v>1975</v>
      </c>
      <c r="C9" s="1"/>
      <c r="D9" s="1"/>
      <c r="E9" s="1"/>
      <c r="F9" s="1"/>
      <c r="G9" s="1"/>
    </row>
    <row r="10" spans="1:18">
      <c r="A10" s="1100" t="s">
        <v>718</v>
      </c>
      <c r="C10" s="103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1:18" ht="26.25" customHeight="1">
      <c r="A11" s="1100" t="s">
        <v>718</v>
      </c>
      <c r="B11" s="2015"/>
      <c r="C11" s="2016"/>
      <c r="D11" s="1989" t="s">
        <v>551</v>
      </c>
      <c r="E11" s="2022" t="s">
        <v>1559</v>
      </c>
      <c r="F11" s="2023"/>
      <c r="G11" s="2023"/>
      <c r="H11" s="2023"/>
      <c r="I11" s="2023"/>
      <c r="J11" s="2023"/>
      <c r="K11" s="2023"/>
      <c r="L11" s="2023"/>
      <c r="M11" s="2024"/>
    </row>
    <row r="12" spans="1:18" s="40" customFormat="1" ht="52.5" customHeight="1">
      <c r="A12" s="1100" t="s">
        <v>718</v>
      </c>
      <c r="B12" s="2017"/>
      <c r="C12" s="2018"/>
      <c r="D12" s="1990"/>
      <c r="E12" s="2025" t="s">
        <v>1988</v>
      </c>
      <c r="F12" s="2026"/>
      <c r="G12" s="2026"/>
      <c r="H12" s="2025" t="s">
        <v>1989</v>
      </c>
      <c r="I12" s="2026"/>
      <c r="J12" s="2026"/>
      <c r="K12" s="2025" t="s">
        <v>1990</v>
      </c>
      <c r="L12" s="2026"/>
      <c r="M12" s="2026"/>
      <c r="N12" s="30"/>
      <c r="O12" s="30"/>
    </row>
    <row r="13" spans="1:18" s="40" customFormat="1" ht="87" customHeight="1">
      <c r="A13" s="1100" t="s">
        <v>718</v>
      </c>
      <c r="B13" s="2017"/>
      <c r="C13" s="2018"/>
      <c r="D13" s="1990"/>
      <c r="E13" s="1481" t="s">
        <v>162</v>
      </c>
      <c r="F13" s="1481" t="s">
        <v>1991</v>
      </c>
      <c r="G13" s="1481" t="s">
        <v>1992</v>
      </c>
      <c r="H13" s="1481" t="s">
        <v>162</v>
      </c>
      <c r="I13" s="1481" t="s">
        <v>1991</v>
      </c>
      <c r="J13" s="1481" t="s">
        <v>1992</v>
      </c>
      <c r="K13" s="1481" t="s">
        <v>162</v>
      </c>
      <c r="L13" s="1481" t="s">
        <v>1991</v>
      </c>
      <c r="M13" s="1481" t="s">
        <v>1992</v>
      </c>
      <c r="N13" s="30"/>
      <c r="O13" s="30"/>
    </row>
    <row r="14" spans="1:18" s="40" customFormat="1" ht="24.75" customHeight="1">
      <c r="A14" s="1100"/>
      <c r="B14" s="2017"/>
      <c r="C14" s="2018"/>
      <c r="D14" s="1990"/>
      <c r="E14" s="2027" t="s">
        <v>1993</v>
      </c>
      <c r="F14" s="2028"/>
      <c r="G14" s="2028"/>
      <c r="H14" s="2028"/>
      <c r="I14" s="2028"/>
      <c r="J14" s="2028"/>
      <c r="K14" s="2028"/>
      <c r="L14" s="2028"/>
      <c r="M14" s="2029"/>
      <c r="N14" s="30"/>
      <c r="O14" s="30"/>
    </row>
    <row r="15" spans="1:18" s="40" customFormat="1" ht="12.75" customHeight="1">
      <c r="A15" s="1100" t="s">
        <v>718</v>
      </c>
      <c r="B15" s="2019"/>
      <c r="C15" s="2020"/>
      <c r="D15" s="1991"/>
      <c r="E15" s="453" t="s">
        <v>292</v>
      </c>
      <c r="F15" s="453" t="s">
        <v>293</v>
      </c>
      <c r="G15" s="453" t="s">
        <v>294</v>
      </c>
      <c r="H15" s="453" t="s">
        <v>295</v>
      </c>
      <c r="I15" s="453" t="s">
        <v>296</v>
      </c>
      <c r="J15" s="453" t="s">
        <v>297</v>
      </c>
      <c r="K15" s="453" t="s">
        <v>298</v>
      </c>
      <c r="L15" s="453" t="s">
        <v>299</v>
      </c>
      <c r="M15" s="453" t="s">
        <v>300</v>
      </c>
      <c r="N15" s="30"/>
      <c r="O15" s="30"/>
    </row>
    <row r="16" spans="1:18" ht="21">
      <c r="A16" s="1156" t="str">
        <f t="shared" ref="A16:A42" si="1">$A$1&amp;"_"&amp;B16</f>
        <v>F-07.01_060</v>
      </c>
      <c r="B16" s="361" t="s">
        <v>297</v>
      </c>
      <c r="C16" s="1506" t="s">
        <v>55</v>
      </c>
      <c r="D16" s="14" t="s">
        <v>1712</v>
      </c>
      <c r="E16" s="1794">
        <f>SUM($E$17:$E$21)</f>
        <v>0</v>
      </c>
      <c r="F16" s="1794">
        <f>SUM($F$17:$F$21)</f>
        <v>0</v>
      </c>
      <c r="G16" s="1794">
        <f>SUM($G$17:$G$21)</f>
        <v>0</v>
      </c>
      <c r="H16" s="1794">
        <f>SUM($H$17:$H$21)</f>
        <v>0</v>
      </c>
      <c r="I16" s="1794">
        <f>SUM($I$17:$I$21)</f>
        <v>0</v>
      </c>
      <c r="J16" s="1794">
        <f>SUM($J$17:$J$21)</f>
        <v>0</v>
      </c>
      <c r="K16" s="1795">
        <f>SUM($K$17:$K$21)</f>
        <v>0</v>
      </c>
      <c r="L16" s="1795">
        <f>SUM($L$17:$L$21)</f>
        <v>0</v>
      </c>
      <c r="M16" s="1795">
        <f>SUM($M$17:$M$21)</f>
        <v>0</v>
      </c>
      <c r="P16" s="1663">
        <f>IF(SUM(E16:G16)&lt;=SUM('4'!F108,'4'!J108,'4'!F142,'4'!J142),0,"sum({F 07.01, r060, (c010-030)}) &lt;= {F 04.03.1, r050, c015} + {F 04.03.1, r050, c050} + {F 04.04.1, r010, c015} + {F 04.04.1, r010, c050}")</f>
        <v>0</v>
      </c>
      <c r="Q16" s="1663">
        <f>IF(SUM(H16:J16)&lt;=SUM('4'!H108,'4'!K108,'4'!H142,'4'!K142),0,"sum({F 07.01, r060, (c040-060)}) &lt;= {F 04.03.1, r050, c030} + {F 04.03.1, r050, c060} + {F 04.04.1, r010, c030} + {F 04.04.1, r010, c060}")</f>
        <v>0</v>
      </c>
      <c r="R16" s="1663">
        <f>IF(SUM(K16:M16)&lt;=SUM('4'!I108,'4'!L108,'4'!I142,'4'!L142),0,"sum({F 07.01, r060, (c070-090)}) &lt;= {F 04.03.1, r050, c040} + {F 04.03.1, r050, c070} + {F 04.04.1, r010, c040} + {F 04.04.1, r010, c070}")</f>
        <v>0</v>
      </c>
    </row>
    <row r="17" spans="1:18">
      <c r="A17" s="1156" t="str">
        <f t="shared" si="1"/>
        <v>F-07.01_070</v>
      </c>
      <c r="B17" s="363" t="s">
        <v>298</v>
      </c>
      <c r="C17" s="36" t="s">
        <v>99</v>
      </c>
      <c r="D17" s="82" t="s">
        <v>1713</v>
      </c>
      <c r="E17" s="1077"/>
      <c r="F17" s="1077"/>
      <c r="G17" s="1077"/>
      <c r="H17" s="1077"/>
      <c r="I17" s="1077"/>
      <c r="J17" s="1077"/>
      <c r="K17" s="1077"/>
      <c r="L17" s="1077"/>
      <c r="M17" s="1077"/>
      <c r="P17" s="1663">
        <f>IF(SUM(E17:G17)&lt;=SUM('4'!F109,'4'!J109,'4'!F143,'4'!J143),0,"sum({F 07.01, r070, (c010-030)}) &lt;= {F 04.03.1, r060, c015} + {F 04.03.1, r060, c050} + {F 04.04.1, r020, c015} + {F 04.04.1, r020, c050}")</f>
        <v>0</v>
      </c>
      <c r="Q17" s="1663">
        <f>IF(SUM(H17:J17)&lt;=SUM('4'!H109,'4'!K109,'4'!H143,'4'!K143),0,"sum({F 07.01, r070, (c040-060)}) &lt;= {F 04.03.1, r060, c030} + {F 04.03.1, r060, c060} + {F 04.04.1, r020, c030} + {F 04.04.1, r020, c060}")</f>
        <v>0</v>
      </c>
      <c r="R17" s="1663">
        <f>IF(SUM(K17:M17)&lt;=SUM('4'!I109,'4'!L109,'4'!I143,'4'!L143),0,"sum({F 07.01, r070, (c070-090)}) &lt;= {F 04.03.1, r060, c040} + {F 04.03.1, r060, c070} + {F 04.04.1, r020, c040} + {F 04.04.1, r020, c070}")</f>
        <v>0</v>
      </c>
    </row>
    <row r="18" spans="1:18">
      <c r="A18" s="1156" t="str">
        <f t="shared" si="1"/>
        <v>F-07.01_080</v>
      </c>
      <c r="B18" s="363" t="s">
        <v>299</v>
      </c>
      <c r="C18" s="36" t="s">
        <v>100</v>
      </c>
      <c r="D18" s="82" t="s">
        <v>1714</v>
      </c>
      <c r="E18" s="1077"/>
      <c r="F18" s="1077"/>
      <c r="G18" s="1077"/>
      <c r="H18" s="1077"/>
      <c r="I18" s="1077"/>
      <c r="J18" s="1077"/>
      <c r="K18" s="1077"/>
      <c r="L18" s="1077"/>
      <c r="M18" s="1077"/>
      <c r="P18" s="1663">
        <f>IF(SUM(E18:G18)&lt;=SUM('4'!F110,'4'!J110,'4'!F144,'4'!J144),0,"sum({F 07.01, r080, (c010-030)}) &lt;= {F 04.03.1, r070, c015} + {F 04.03.1, r070, c050} + {F 04.04.1, r030, c015} + {F 04.04.1, r030, c050}")</f>
        <v>0</v>
      </c>
      <c r="Q18" s="1663">
        <f>IF(SUM(H18:J18)&lt;=SUM('4'!H110,'4'!K110,'4'!H144,'4'!K144),0,"sum({F 07.01, r080, (c040-060)}) &lt;= {F 04.03.1, r070, c030} + {F 04.03.1, r070, c060} + {F 04.04.1, r030, c030} + {F 04.04.1, r030, c060}")</f>
        <v>0</v>
      </c>
      <c r="R18" s="1663">
        <f>IF(SUM(K18:M18)&lt;=SUM('4'!I110,'4'!L110,'4'!I144,'4'!L144),0,"sum({F 07.01, r080, (c070-090)}) &lt;= {F 04.03.1, r070, c040} + {F 04.03.1, r070, c070} + {F 04.04.1, r030, c040} + {F 04.04.1, r030, c070}")</f>
        <v>0</v>
      </c>
    </row>
    <row r="19" spans="1:18">
      <c r="A19" s="1156" t="str">
        <f t="shared" si="1"/>
        <v>F-07.01_090</v>
      </c>
      <c r="B19" s="363" t="s">
        <v>300</v>
      </c>
      <c r="C19" s="36" t="s">
        <v>101</v>
      </c>
      <c r="D19" s="82" t="s">
        <v>1709</v>
      </c>
      <c r="E19" s="1077"/>
      <c r="F19" s="1077"/>
      <c r="G19" s="1077"/>
      <c r="H19" s="1077"/>
      <c r="I19" s="1077"/>
      <c r="J19" s="1077"/>
      <c r="K19" s="1077"/>
      <c r="L19" s="1077"/>
      <c r="M19" s="1077"/>
      <c r="P19" s="1663">
        <f>IF(SUM(E19:G19)&lt;=SUM('4'!F111,'4'!J111,'4'!F145,'4'!J145),0,"sum({F 07.01, r090, (c010-030)}) &lt;= {F 04.03.1, r080, c015} + {F 04.03.1, r080, c050} + {F 04.04.1, r040, c015} + {F 04.04.1, r040, c050}")</f>
        <v>0</v>
      </c>
      <c r="Q19" s="1663">
        <f>IF(SUM(H19:J19)&lt;=SUM('4'!H111,'4'!K111,'4'!H145,'4'!K145),0,"sum({F 07.01, r090, (c040-060)}) &lt;= {F 04.03.1, r080, c030} + {F 04.03.1, r080, c060} + {F 04.04.1, r040, c030} + {F 04.04.1, r040, c060}")</f>
        <v>0</v>
      </c>
      <c r="R19" s="1663">
        <f>IF(SUM(K19:M19)&lt;=SUM('4'!I111,'4'!L111,'4'!I145,'4'!L145),0,"sum({F 07.01, r090, (c070-090)}) &lt;= {F 04.03.1, r080, c040} + {F 04.03.1, r080, c070} + {F 04.04.1, r040, c040} + {F 04.04.1, r040, c070}")</f>
        <v>0</v>
      </c>
    </row>
    <row r="20" spans="1:18">
      <c r="A20" s="1156" t="str">
        <f t="shared" si="1"/>
        <v>F-07.01_100</v>
      </c>
      <c r="B20" s="363" t="s">
        <v>301</v>
      </c>
      <c r="C20" s="36" t="s">
        <v>102</v>
      </c>
      <c r="D20" s="82" t="s">
        <v>1710</v>
      </c>
      <c r="E20" s="1077"/>
      <c r="F20" s="1077"/>
      <c r="G20" s="1077"/>
      <c r="H20" s="1077"/>
      <c r="I20" s="1077"/>
      <c r="J20" s="1077"/>
      <c r="K20" s="1077"/>
      <c r="L20" s="1077"/>
      <c r="M20" s="1077"/>
      <c r="P20" s="1663">
        <f>IF(SUM(E20:G20)&lt;=SUM('4'!F112,'4'!J112,'4'!F146,'4'!J146),0,"sum({F 07.01, r100, (c010-030)}) &lt;= {F 04.03.1, r090, c015} + {F 04.03.1, r090, c050} + {F 04.04.1, r050, c015} + {F 04.04.1, r050, c050}")</f>
        <v>0</v>
      </c>
      <c r="Q20" s="1663">
        <f>IF(SUM(H20:J20)&lt;=SUM('4'!H112,'4'!K112,'4'!H146,'4'!K146),0,"sum({F 07.01, r100, (c040-060)}) &lt;= {F 04.03.1, r090, c030} + {F 04.03.1, r090, c060} + {F 04.04.1, r050, c030} + {F 04.04.1, r050, c060}")</f>
        <v>0</v>
      </c>
      <c r="R20" s="1663">
        <f>IF(SUM(K20:M20)&lt;=SUM('4'!I112,'4'!L112,'4'!I146,'4'!L146),0,"sum({F 07.01, r100, (c070-090)}) &lt;= {F 04.03.1, r090, c040} + {F 04.03.1, r090, c070} + {F 04.04.1, r050, c040} + {F 04.04.1, r050, c070}")</f>
        <v>0</v>
      </c>
    </row>
    <row r="21" spans="1:18">
      <c r="A21" s="1156" t="str">
        <f t="shared" si="1"/>
        <v>F-07.01_110</v>
      </c>
      <c r="B21" s="363" t="s">
        <v>302</v>
      </c>
      <c r="C21" s="36" t="s">
        <v>127</v>
      </c>
      <c r="D21" s="69" t="s">
        <v>1711</v>
      </c>
      <c r="E21" s="1077"/>
      <c r="F21" s="1077"/>
      <c r="G21" s="1077"/>
      <c r="H21" s="1077"/>
      <c r="I21" s="1077"/>
      <c r="J21" s="1077"/>
      <c r="K21" s="1077"/>
      <c r="L21" s="1077"/>
      <c r="M21" s="1077"/>
      <c r="P21" s="1663">
        <f>IF(SUM(E21:G21)&lt;=SUM('4'!F113,'4'!J113,'4'!F147,'4'!J147),0,"sum({F 07.01, r110, (c010-030)}) &lt;= {F 04.03.1, r100, c015} + {F 04.03.1, r100, c050} + {F 04.04.1, r060, c015} + {F 04.04.1, r060, c050}")</f>
        <v>0</v>
      </c>
      <c r="Q21" s="1663">
        <f>IF(SUM(H21:J21)&lt;=SUM('4'!H113,'4'!K113,'4'!H147,'4'!K147),0,"sum({F 07.01, r110, (c040-060)}) &lt;= {F 04.03.1, r100, c030} + {F 04.03.1, r100, c060} + {F 04.04.1, r060, c030} + {F 04.04.1, r060, c060}")</f>
        <v>0</v>
      </c>
      <c r="R21" s="1663">
        <f>IF(SUM(K21:M21)&lt;=SUM('4'!I113,'4'!L113,'4'!I147,'4'!L147),0,"sum({F 07.01, r110, (c070-090)}) &lt;= {F 04.03.1, r100, c040} + {F 04.03.1, r100, c070} + {F 04.04.1, r060, c040} + {F 04.04.1, r060, c070}")</f>
        <v>0</v>
      </c>
    </row>
    <row r="22" spans="1:18" ht="21" customHeight="1">
      <c r="A22" s="1156" t="str">
        <f t="shared" si="1"/>
        <v>F-07.01_120</v>
      </c>
      <c r="B22" s="363" t="s">
        <v>303</v>
      </c>
      <c r="C22" s="21" t="s">
        <v>61</v>
      </c>
      <c r="D22" s="14" t="s">
        <v>1715</v>
      </c>
      <c r="E22" s="1794">
        <f>SUM($E$23:$E$28)</f>
        <v>0</v>
      </c>
      <c r="F22" s="1794">
        <f>SUM($F$23:$F$28)</f>
        <v>0</v>
      </c>
      <c r="G22" s="1794">
        <f>SUM($G$23:$G$28)</f>
        <v>0</v>
      </c>
      <c r="H22" s="1794">
        <f>SUM($H$23:$H$28)</f>
        <v>0</v>
      </c>
      <c r="I22" s="1794">
        <f>SUM($I$23:$I$28)</f>
        <v>0</v>
      </c>
      <c r="J22" s="1794">
        <f>SUM($J$23:$J$28)</f>
        <v>0</v>
      </c>
      <c r="K22" s="1794">
        <f>SUM($K$23:$K$28)</f>
        <v>0</v>
      </c>
      <c r="L22" s="1794">
        <f>SUM($L$23:$L$28)</f>
        <v>0</v>
      </c>
      <c r="M22" s="1794">
        <f>SUM($M$23:$M$28)</f>
        <v>0</v>
      </c>
      <c r="P22" s="1663">
        <f>IF(SUM(E22:G22)&lt;=SUM('4'!F114,'4'!J114,'4'!F148,'4'!J148),0,"sum({F 07.01, r120, (c010-030)}) &lt;= {F 04.03.1, r110, c015} + {F 04.03.1, r110, c050} + {F 04.04.1, r070, c015} + {F 04.04.1, r070, c050}")</f>
        <v>0</v>
      </c>
      <c r="Q22" s="1663">
        <f>IF(SUM(H22:J22)&lt;=SUM('4'!H114,'4'!K114,'4'!H148,'4'!K148),0,"sum({F 07.01, r120, (c040-060)}) &lt;= {F 04.03.1, r110, c030} + {F 04.03.1, r110, c060} + {F 04.04.1, r070, c030} + {F 04.04.1, r070, c060}")</f>
        <v>0</v>
      </c>
      <c r="R22" s="1663">
        <f>IF(SUM(K22:M22)&lt;=SUM('4'!I114,'4'!L114,'4'!I148,'4'!L148),0,"sum({F 07.01, r120, (c070-090)}) &lt;= {F 04.03.1, r110, c040} + {F 04.03.1, r110, c070} + {F 04.04.1, r070, c040} + {F 04.04.1, r070, c070}")</f>
        <v>0</v>
      </c>
    </row>
    <row r="23" spans="1:18">
      <c r="A23" s="1156" t="str">
        <f t="shared" si="1"/>
        <v>F-07.01_130</v>
      </c>
      <c r="B23" s="363" t="s">
        <v>304</v>
      </c>
      <c r="C23" s="36" t="s">
        <v>99</v>
      </c>
      <c r="D23" s="82" t="s">
        <v>1713</v>
      </c>
      <c r="E23" s="1077"/>
      <c r="F23" s="1077"/>
      <c r="G23" s="1077"/>
      <c r="H23" s="1077"/>
      <c r="I23" s="1077"/>
      <c r="J23" s="1077"/>
      <c r="K23" s="1077"/>
      <c r="L23" s="1077"/>
      <c r="M23" s="1077"/>
      <c r="P23" s="1663">
        <f>IF(SUM(E23:G23)&lt;=SUM('4'!F115,'4'!J115,'4'!F149,'4'!J149),0,"sum({F 07.01, r130, (c010-030)}) &lt;= {F 04.03.1, r120, c015} + {F 04.03.1, r120, c050} + {F 04.04.1, r080, c015} + {F 04.04.1, r080, c050}")</f>
        <v>0</v>
      </c>
      <c r="Q23" s="1663">
        <f>IF(SUM(H23:J23)&lt;=SUM('4'!H115,'4'!K115,'4'!H149,'4'!K149),0,"sum({F 07.01, r130, (c040-060)}) &lt;= {F 04.03.1, r120, c030} + {F 04.03.1, r120, c060} + {F 04.04.1, r080, c030} + {F 04.04.1, r080, c060}")</f>
        <v>0</v>
      </c>
      <c r="R23" s="1663">
        <f>IF(SUM(K23:M23)&lt;=SUM('4'!I115,'4'!L115,'4'!I149,'4'!L149),0,"sum({F 07.01, r130, (c070-090)}) &lt;= {F 04.03.1, r120, c040} + {F 04.03.1, r120, c070} + {F 04.04.1, r080, c040} + {F 04.04.1, r080, c070}")</f>
        <v>0</v>
      </c>
    </row>
    <row r="24" spans="1:18" ht="12.75" customHeight="1">
      <c r="A24" s="1156" t="str">
        <f t="shared" si="1"/>
        <v>F-07.01_140</v>
      </c>
      <c r="B24" s="363" t="s">
        <v>305</v>
      </c>
      <c r="C24" s="36" t="s">
        <v>100</v>
      </c>
      <c r="D24" s="82" t="s">
        <v>1714</v>
      </c>
      <c r="E24" s="1077"/>
      <c r="F24" s="1077"/>
      <c r="G24" s="1077"/>
      <c r="H24" s="1077"/>
      <c r="I24" s="1077"/>
      <c r="J24" s="1077"/>
      <c r="K24" s="1077"/>
      <c r="L24" s="1077"/>
      <c r="M24" s="1077"/>
      <c r="P24" s="1663">
        <f>IF(SUM(E24:G24)&lt;=SUM('4'!F116,'4'!J116,'4'!F150,'4'!J150),0,"sum({F 07.01, r140, (c010-030)}) &lt;= {F 04.03.1, r130, c015} + {F 04.03.1, r130, c050} + {F 04.04.1, r090, c015} + {F 04.04.1, r090, c050}")</f>
        <v>0</v>
      </c>
      <c r="Q24" s="1663">
        <f>IF(SUM(H24:J24)&lt;=SUM('4'!H116,'4'!K116,'4'!H150,'4'!K150),0,"sum({F 07.01, r140, (c040-060)}) &lt;= {F 04.03.1, r130, c030} + {F 04.03.1, r130, c060} + {F 04.04.1, r090, c030} + {F 04.04.1, r090, c060}")</f>
        <v>0</v>
      </c>
      <c r="R24" s="1663">
        <f>IF(SUM(K24:M24)&lt;=SUM('4'!I116,'4'!L116,'4'!I150,'4'!L150),0,"sum({F 07.01, r140, (c070-090)}) &lt;= {F 04.03.1, r130, c040} + {F 04.03.1, r130, c070} + {F 04.04.1, r090, c040} + {F 04.04.1, r090, c070}")</f>
        <v>0</v>
      </c>
    </row>
    <row r="25" spans="1:18">
      <c r="A25" s="1156" t="str">
        <f t="shared" si="1"/>
        <v>F-07.01_150</v>
      </c>
      <c r="B25" s="363" t="s">
        <v>306</v>
      </c>
      <c r="C25" s="36" t="s">
        <v>101</v>
      </c>
      <c r="D25" s="82" t="s">
        <v>1709</v>
      </c>
      <c r="E25" s="1077"/>
      <c r="F25" s="1077"/>
      <c r="G25" s="1077"/>
      <c r="H25" s="1077"/>
      <c r="I25" s="1077"/>
      <c r="J25" s="1077"/>
      <c r="K25" s="1077"/>
      <c r="L25" s="1077"/>
      <c r="M25" s="1077"/>
      <c r="P25" s="1663">
        <f>IF(SUM(E25:G25)&lt;=SUM('4'!F117,'4'!J117,'4'!F151,'4'!J151),0,"sum({F 07.01, r150, (c010-030)}) &lt;= {F 04.03.1, r140, c015} + {F 04.03.1, r140, c050} + {F 04.04.1, r100, c015} + {F 04.04.1, r100, c050}")</f>
        <v>0</v>
      </c>
      <c r="Q25" s="1663">
        <f>IF(SUM(H25:J25)&lt;=SUM('4'!H117,'4'!K117,'4'!H151,'4'!K151),0,"sum({F 07.01, r150, (c040-060)}) &lt;= {F 04.03.1, r140, c030} + {F 04.03.1, r140, c060} + {F 04.04.1, r100, c030} + {F 04.04.1, r100, c060}")</f>
        <v>0</v>
      </c>
      <c r="R25" s="1663">
        <f>IF(SUM(K25:M25)&lt;=SUM('4'!I117,'4'!L117,'4'!I151,'4'!L151),0,"sum({F 07.01, r150, (c070-090)}) &lt;= {F 04.03.1, r140, c040} + {F 04.03.1, r140, c070} + {F 04.04.1, r100, c040} + {F 04.04.1, r100, c070}")</f>
        <v>0</v>
      </c>
    </row>
    <row r="26" spans="1:18">
      <c r="A26" s="1156" t="str">
        <f t="shared" si="1"/>
        <v>F-07.01_160</v>
      </c>
      <c r="B26" s="363" t="s">
        <v>307</v>
      </c>
      <c r="C26" s="36" t="s">
        <v>102</v>
      </c>
      <c r="D26" s="82" t="s">
        <v>1710</v>
      </c>
      <c r="E26" s="1077"/>
      <c r="F26" s="1077"/>
      <c r="G26" s="1077"/>
      <c r="H26" s="1077"/>
      <c r="I26" s="1077"/>
      <c r="J26" s="1077"/>
      <c r="K26" s="1077"/>
      <c r="L26" s="1077"/>
      <c r="M26" s="1077"/>
      <c r="P26" s="1663">
        <f>IF(SUM(E26:G26)&lt;=SUM('4'!F118,'4'!J118,'4'!F152,'4'!J152),0,"sum({F 07.01, r160, (c010-030)}) &lt;= {F 04.03.1, r150, c015} + {F 04.03.1, r150, c050} + {F 04.04.1, r110, c015} + {F 04.04.1, r110, c050}")</f>
        <v>0</v>
      </c>
      <c r="Q26" s="1663">
        <f>IF(SUM(H26:J26)&lt;=SUM('4'!H118,'4'!K118,'4'!H152,'4'!K152),0,"sum({F 07.01, r160, (c040-060)}) &lt;= {F 04.03.1, r150, c030} + {F 04.03.1, r150, c060} + {F 04.04.1, r110, c030} + {F 04.04.1, r110, c060}")</f>
        <v>0</v>
      </c>
      <c r="R26" s="1663">
        <f>IF(SUM(K26:M26)&lt;=SUM('4'!I118,'4'!L118,'4'!I152,'4'!L152),0,"sum({F 07.01, r160, (c070-090)}) &lt;= {F 04.03.1, r150, c040} + {F 04.03.1, r150, c070} + {F 04.04.1, r110, c040} + {F 04.04.1, r110, c070}")</f>
        <v>0</v>
      </c>
    </row>
    <row r="27" spans="1:18">
      <c r="A27" s="1156" t="str">
        <f t="shared" si="1"/>
        <v>F-07.01_170</v>
      </c>
      <c r="B27" s="363" t="s">
        <v>308</v>
      </c>
      <c r="C27" s="36" t="s">
        <v>127</v>
      </c>
      <c r="D27" s="82" t="s">
        <v>1711</v>
      </c>
      <c r="E27" s="1077"/>
      <c r="F27" s="1077"/>
      <c r="G27" s="1077"/>
      <c r="H27" s="1077"/>
      <c r="I27" s="1077"/>
      <c r="J27" s="1077"/>
      <c r="K27" s="1077"/>
      <c r="L27" s="1077"/>
      <c r="M27" s="1077"/>
      <c r="P27" s="1663">
        <f>IF(SUM(E27:G27)&lt;=SUM('4'!F119,'4'!J119,'4'!F153,'4'!J153),0,"sum({F 07.01, r170, (c010-030)}) &lt;= {F 04.03.1, r160, c015} + {F 04.03.1, r160, c050} + {F 04.04.1, r120, c015} + {F 04.04.1, r120, c050}")</f>
        <v>0</v>
      </c>
      <c r="Q27" s="1663">
        <f>IF(SUM(H27:J27)&lt;=SUM('4'!H119,'4'!K119,'4'!H153,'4'!K153),0,"sum({F 07.01, r170, (c040-060)}) &lt;= {F 04.03.1, r160, c030} + {F 04.03.1, r160, c060} + {F 04.04.1, r120, c030} + {F 04.04.1, r120, c060}")</f>
        <v>0</v>
      </c>
      <c r="R27" s="1663">
        <f>IF(SUM(K27:M27)&lt;=SUM('4'!I119,'4'!L119,'4'!I153,'4'!L153),0,"sum({F 07.01, r170, (c070-090)}) &lt;= {F 04.03.1, r160, c040} + {F 04.03.1, r160, c070} + {F 04.04.1, r120, c040} + {F 04.04.1, r120, c070}")</f>
        <v>0</v>
      </c>
    </row>
    <row r="28" spans="1:18">
      <c r="A28" s="1156" t="str">
        <f t="shared" si="1"/>
        <v>F-07.01_180</v>
      </c>
      <c r="B28" s="361">
        <v>180</v>
      </c>
      <c r="C28" s="36" t="s">
        <v>128</v>
      </c>
      <c r="D28" s="211" t="s">
        <v>1717</v>
      </c>
      <c r="E28" s="1077"/>
      <c r="F28" s="1077"/>
      <c r="G28" s="1077"/>
      <c r="H28" s="1077"/>
      <c r="I28" s="1077"/>
      <c r="J28" s="1077"/>
      <c r="K28" s="1077"/>
      <c r="L28" s="1077"/>
      <c r="M28" s="1077"/>
      <c r="P28" s="1663">
        <f>IF(SUM(E28:G28)&lt;=SUM('4'!F120,'4'!J120,'4'!F154,'4'!J154),0,"sum({F 07.01, r180, (c010-030)}) &lt;= {F 04.03.1, r170, c015} + {F 04.03.1, r170, c050} + {F 04.04.1, r130, c015} + {F 04.04.1, r130, c050}")</f>
        <v>0</v>
      </c>
      <c r="Q28" s="1663">
        <f>IF(SUM(H28:J28)&lt;=SUM('4'!H120,'4'!K120,'4'!H154,'4'!K154),0,"sum({F 07.01, r180, (c040-060)}) &lt;= {F 04.03.1, r170, c030} + {F 04.03.1, r170, c060} + {F 04.04.1, r130, c030} + {F 04.04.1, r130, c060}")</f>
        <v>0</v>
      </c>
      <c r="R28" s="1663">
        <f>IF(SUM(K28:M28)&lt;=SUM('4'!I120,'4'!L120,'4'!I154,'4'!L154),0,"ssum({F 07.01, r180, (c070-090)}) &lt;= {F 04.03.1, r170, c040} + {F 04.03.1, r170, c070} + {F 04.04.1, r130, c040} + {F 04.04.1, r130, c070}")</f>
        <v>0</v>
      </c>
    </row>
    <row r="29" spans="1:18" ht="21" customHeight="1">
      <c r="A29" s="1156" t="str">
        <f t="shared" si="1"/>
        <v>F-07.01_190</v>
      </c>
      <c r="B29" s="376">
        <v>190</v>
      </c>
      <c r="C29" s="217" t="s">
        <v>1976</v>
      </c>
      <c r="D29" s="1555" t="s">
        <v>1977</v>
      </c>
      <c r="E29" s="977">
        <f>SUM($E$16+$E$22)</f>
        <v>0</v>
      </c>
      <c r="F29" s="977">
        <f>SUM($F$16+$F$22)</f>
        <v>0</v>
      </c>
      <c r="G29" s="977">
        <f>SUM($G$16+$G$22)</f>
        <v>0</v>
      </c>
      <c r="H29" s="977">
        <f>SUM($H$16+$H$22)</f>
        <v>0</v>
      </c>
      <c r="I29" s="977">
        <f>SUM($I$16+$I$22)</f>
        <v>0</v>
      </c>
      <c r="J29" s="977">
        <f>SUM($J$16+$J$22)</f>
        <v>0</v>
      </c>
      <c r="K29" s="1798">
        <f>SUM($K$16+$K$22)</f>
        <v>0</v>
      </c>
      <c r="L29" s="977">
        <f>SUM($L$16+$L$22)</f>
        <v>0</v>
      </c>
      <c r="M29" s="977">
        <f>SUM($M$16+$M$22)</f>
        <v>0</v>
      </c>
      <c r="P29" s="1663">
        <f>IF(SUM(E29:G29)&lt;=SUM('4'!F121,'4'!J121,'4'!F155,'4'!J155),0,"sum({F 07.01, r190, (c010-030)}) &lt;= {F 04.03.1, r180, c015} + {F 04.03.1, r180, c050} + {F 04.04.1, r140, c015} + {F 04.04.1, r140, c050}")</f>
        <v>0</v>
      </c>
      <c r="Q29" s="1663"/>
      <c r="R29" s="1834"/>
    </row>
    <row r="30" spans="1:18">
      <c r="A30" s="1100" t="s">
        <v>718</v>
      </c>
      <c r="B30" s="1033"/>
      <c r="C30" s="1178" t="s">
        <v>438</v>
      </c>
      <c r="D30" s="1179"/>
      <c r="E30" s="1796"/>
      <c r="F30" s="1796"/>
      <c r="G30" s="1796"/>
      <c r="H30" s="1796"/>
      <c r="I30" s="1796"/>
      <c r="J30" s="1796"/>
      <c r="K30" s="1796"/>
      <c r="L30" s="1796"/>
      <c r="M30" s="1797"/>
    </row>
    <row r="31" spans="1:18">
      <c r="A31" s="1156" t="str">
        <f t="shared" si="1"/>
        <v>F-07.01_200</v>
      </c>
      <c r="B31" s="386">
        <v>200</v>
      </c>
      <c r="C31" s="1585" t="s">
        <v>106</v>
      </c>
      <c r="D31" s="263" t="s">
        <v>1978</v>
      </c>
      <c r="E31" s="1077"/>
      <c r="F31" s="1077"/>
      <c r="G31" s="1077"/>
      <c r="H31" s="1077"/>
      <c r="I31" s="1077"/>
      <c r="J31" s="1077"/>
      <c r="K31" s="1077"/>
      <c r="L31" s="1077"/>
      <c r="M31" s="1077"/>
    </row>
    <row r="32" spans="1:18">
      <c r="A32" s="1156" t="str">
        <f t="shared" si="1"/>
        <v>F-07.01_210</v>
      </c>
      <c r="B32" s="363">
        <v>210</v>
      </c>
      <c r="C32" s="36" t="s">
        <v>384</v>
      </c>
      <c r="D32" s="160" t="s">
        <v>1979</v>
      </c>
      <c r="E32" s="1077"/>
      <c r="F32" s="1077"/>
      <c r="G32" s="1077"/>
      <c r="H32" s="1077"/>
      <c r="I32" s="1077"/>
      <c r="J32" s="1077"/>
      <c r="K32" s="1077"/>
      <c r="L32" s="1077"/>
      <c r="M32" s="1077"/>
    </row>
    <row r="33" spans="1:13">
      <c r="A33" s="1156" t="str">
        <f t="shared" si="1"/>
        <v>F-07.01_220</v>
      </c>
      <c r="B33" s="363">
        <v>220</v>
      </c>
      <c r="C33" s="36" t="s">
        <v>108</v>
      </c>
      <c r="D33" s="160" t="s">
        <v>1980</v>
      </c>
      <c r="E33" s="1077"/>
      <c r="F33" s="1077"/>
      <c r="G33" s="1077"/>
      <c r="H33" s="1077"/>
      <c r="I33" s="1077"/>
      <c r="J33" s="1077"/>
      <c r="K33" s="1077"/>
      <c r="L33" s="1077"/>
      <c r="M33" s="1077"/>
    </row>
    <row r="34" spans="1:13">
      <c r="A34" s="1156" t="str">
        <f t="shared" si="1"/>
        <v>F-07.01_230</v>
      </c>
      <c r="B34" s="363">
        <v>230</v>
      </c>
      <c r="C34" s="36" t="s">
        <v>109</v>
      </c>
      <c r="D34" s="160" t="s">
        <v>1981</v>
      </c>
      <c r="E34" s="1077"/>
      <c r="F34" s="1077"/>
      <c r="G34" s="1077"/>
      <c r="H34" s="1077"/>
      <c r="I34" s="1077"/>
      <c r="J34" s="1077"/>
      <c r="K34" s="1077"/>
      <c r="L34" s="1077"/>
      <c r="M34" s="1077"/>
    </row>
    <row r="35" spans="1:13">
      <c r="A35" s="1156" t="str">
        <f t="shared" si="1"/>
        <v>F-07.01_240</v>
      </c>
      <c r="B35" s="363">
        <v>240</v>
      </c>
      <c r="C35" s="36" t="s">
        <v>110</v>
      </c>
      <c r="D35" s="160" t="s">
        <v>1982</v>
      </c>
      <c r="E35" s="1077"/>
      <c r="F35" s="1077"/>
      <c r="G35" s="1077"/>
      <c r="H35" s="1077"/>
      <c r="I35" s="1077"/>
      <c r="J35" s="1077"/>
      <c r="K35" s="1077"/>
      <c r="L35" s="1077"/>
      <c r="M35" s="1077"/>
    </row>
    <row r="36" spans="1:13">
      <c r="A36" s="1156" t="str">
        <f t="shared" si="1"/>
        <v>F-07.01_250</v>
      </c>
      <c r="B36" s="363">
        <v>250</v>
      </c>
      <c r="C36" s="36" t="s">
        <v>111</v>
      </c>
      <c r="D36" s="160" t="s">
        <v>1983</v>
      </c>
      <c r="E36" s="1077"/>
      <c r="F36" s="1077"/>
      <c r="G36" s="1077"/>
      <c r="H36" s="1077"/>
      <c r="I36" s="1077"/>
      <c r="J36" s="1077"/>
      <c r="K36" s="1077"/>
      <c r="L36" s="1077"/>
      <c r="M36" s="1077"/>
    </row>
    <row r="37" spans="1:13">
      <c r="A37" s="1156" t="str">
        <f t="shared" si="1"/>
        <v>F-07.01_260</v>
      </c>
      <c r="B37" s="364">
        <v>260</v>
      </c>
      <c r="C37" s="38" t="s">
        <v>439</v>
      </c>
      <c r="D37" s="160" t="s">
        <v>1984</v>
      </c>
      <c r="E37" s="1790"/>
      <c r="F37" s="1790"/>
      <c r="G37" s="1790"/>
      <c r="H37" s="1790"/>
      <c r="I37" s="1790"/>
      <c r="J37" s="1790"/>
      <c r="K37" s="1790"/>
      <c r="L37" s="1790"/>
      <c r="M37" s="1790"/>
    </row>
    <row r="38" spans="1:13" ht="21">
      <c r="A38" s="1156" t="str">
        <f t="shared" si="1"/>
        <v>F-07.01_270</v>
      </c>
      <c r="B38" s="412">
        <v>270</v>
      </c>
      <c r="C38" s="35" t="s">
        <v>1985</v>
      </c>
      <c r="D38" s="264" t="s">
        <v>1716</v>
      </c>
      <c r="E38" s="1793"/>
      <c r="F38" s="1793"/>
      <c r="G38" s="1793"/>
      <c r="H38" s="1793"/>
      <c r="I38" s="1793"/>
      <c r="J38" s="1793"/>
      <c r="K38" s="1793"/>
      <c r="L38" s="1793"/>
      <c r="M38" s="1793"/>
    </row>
    <row r="39" spans="1:13" ht="21">
      <c r="A39" s="1156" t="str">
        <f t="shared" si="1"/>
        <v>F-07.01_280</v>
      </c>
      <c r="B39" s="449">
        <v>280</v>
      </c>
      <c r="C39" s="118" t="s">
        <v>440</v>
      </c>
      <c r="D39" s="117" t="s">
        <v>1986</v>
      </c>
      <c r="E39" s="1791"/>
      <c r="F39" s="1791"/>
      <c r="G39" s="1791"/>
      <c r="H39" s="1791"/>
      <c r="I39" s="1791"/>
      <c r="J39" s="1791"/>
      <c r="K39" s="1791"/>
      <c r="L39" s="1791"/>
      <c r="M39" s="1791"/>
    </row>
    <row r="40" spans="1:13">
      <c r="A40" s="1156" t="str">
        <f t="shared" si="1"/>
        <v>F-07.01_290</v>
      </c>
      <c r="B40" s="364">
        <v>290</v>
      </c>
      <c r="C40" s="261" t="s">
        <v>441</v>
      </c>
      <c r="D40" s="265" t="s">
        <v>1718</v>
      </c>
      <c r="E40" s="1792"/>
      <c r="F40" s="1792"/>
      <c r="G40" s="1792"/>
      <c r="H40" s="1792"/>
      <c r="I40" s="1792"/>
      <c r="J40" s="1792"/>
      <c r="K40" s="1792"/>
      <c r="L40" s="1792"/>
      <c r="M40" s="1792"/>
    </row>
    <row r="41" spans="1:13">
      <c r="A41" s="1156" t="str">
        <f t="shared" si="1"/>
        <v>F-07.01_300</v>
      </c>
      <c r="B41" s="449">
        <v>300</v>
      </c>
      <c r="C41" s="36" t="s">
        <v>385</v>
      </c>
      <c r="D41" s="115" t="s">
        <v>1833</v>
      </c>
      <c r="E41" s="1077"/>
      <c r="F41" s="1077"/>
      <c r="G41" s="1077"/>
      <c r="H41" s="1077"/>
      <c r="I41" s="1077"/>
      <c r="J41" s="1077"/>
      <c r="K41" s="1077"/>
      <c r="L41" s="1077"/>
      <c r="M41" s="1077"/>
    </row>
    <row r="42" spans="1:13" ht="21">
      <c r="A42" s="1156" t="str">
        <f t="shared" si="1"/>
        <v>F-07.01_310</v>
      </c>
      <c r="B42" s="375">
        <v>310</v>
      </c>
      <c r="C42" s="1586" t="s">
        <v>393</v>
      </c>
      <c r="D42" s="337" t="s">
        <v>1987</v>
      </c>
      <c r="E42" s="1789"/>
      <c r="F42" s="1789"/>
      <c r="G42" s="1789"/>
      <c r="H42" s="1789"/>
      <c r="I42" s="1789"/>
      <c r="J42" s="1789"/>
      <c r="K42" s="1789"/>
      <c r="L42" s="1789"/>
      <c r="M42" s="1789"/>
    </row>
    <row r="43" spans="1:13" ht="36.75" customHeight="1">
      <c r="A43" s="1100" t="s">
        <v>718</v>
      </c>
      <c r="B43" s="880"/>
      <c r="C43" s="880"/>
      <c r="D43" s="880"/>
      <c r="E43" s="1788">
        <f>IF($E$22=SUM($E$31:$E$37),0,"r120,c10= sum(r200-260)c10")</f>
        <v>0</v>
      </c>
      <c r="F43" s="1799"/>
      <c r="G43" s="1788">
        <f>IF($G$22=SUM($G$31:$G$37),0,"r120,c30= sum(r200-260),c30")</f>
        <v>0</v>
      </c>
      <c r="H43" s="1799"/>
      <c r="I43" s="1788">
        <f>IF($I$22=SUM($I$31:$I$37),0,"r120,c50= sum(r200-260),c50")</f>
        <v>0</v>
      </c>
      <c r="J43" s="1799"/>
      <c r="K43" s="1788">
        <f>IF($K$22=SUM($K$31:$K$37),0,"r120,c70= sum(r200-260),c70")</f>
        <v>0</v>
      </c>
      <c r="L43" s="1799"/>
      <c r="M43" s="1788">
        <f>IF($M$22=SUM($M$31:$M$37),0,"r120,c90= sum(r200-260),c90")</f>
        <v>0</v>
      </c>
    </row>
    <row r="44" spans="1:13" ht="33.75" customHeight="1">
      <c r="A44" s="1100" t="s">
        <v>718</v>
      </c>
      <c r="B44" s="880"/>
      <c r="C44" s="880"/>
      <c r="D44" s="880"/>
      <c r="E44" s="1800"/>
      <c r="F44" s="1788">
        <f>IF($F$22=SUM($F$31:$F$37),0,"r120,c20= sum(r200-260),c20")</f>
        <v>0</v>
      </c>
      <c r="G44" s="1801"/>
      <c r="H44" s="1788">
        <f>IF($H$22=SUM($H$31:$H$37),0,"r120,c40= sum(r200-260),c40")</f>
        <v>0</v>
      </c>
      <c r="I44" s="1801"/>
      <c r="J44" s="1788">
        <f>IF($J$22=SUM($J$31:$J$37),0,"r120,c60= sum(r200-260),c60")</f>
        <v>0</v>
      </c>
      <c r="K44" s="1801"/>
      <c r="L44" s="1788">
        <f>IF($L$22=SUM($L$31:$L$37),0,"r120,c80= sum(r200-260),c80")</f>
        <v>0</v>
      </c>
      <c r="M44" s="1799"/>
    </row>
    <row r="45" spans="1:13">
      <c r="A45" s="1100" t="s">
        <v>718</v>
      </c>
      <c r="B45" s="880"/>
      <c r="C45" s="880"/>
      <c r="D45" s="880"/>
      <c r="E45" s="881"/>
      <c r="F45" s="881"/>
      <c r="G45" s="820"/>
      <c r="H45" s="820"/>
      <c r="I45" s="820"/>
      <c r="J45" s="820"/>
      <c r="K45" s="820"/>
      <c r="M45" s="881"/>
    </row>
    <row r="46" spans="1:13">
      <c r="A46" s="1100" t="s">
        <v>718</v>
      </c>
      <c r="B46" s="880"/>
      <c r="C46" s="880"/>
      <c r="D46" s="880"/>
      <c r="E46" s="1802">
        <f>IF($E$16&gt;=0,0,"F7,c10,r60&gt;=0")</f>
        <v>0</v>
      </c>
      <c r="F46" s="1802">
        <f>IF($F$16&gt;=0,0,"F7,c20,r60&gt;=0")</f>
        <v>0</v>
      </c>
      <c r="G46" s="1802">
        <f>IF($G$16&gt;=0,0,"F7,c30,r60&gt;=0")</f>
        <v>0</v>
      </c>
      <c r="H46" s="1802">
        <f>IF($H$16&gt;=0,0,"F7,c40,r60&gt;=0")</f>
        <v>0</v>
      </c>
      <c r="I46" s="1802">
        <f>IF($I$16&gt;=0,0,"F7,c50,r60&gt;=0")</f>
        <v>0</v>
      </c>
      <c r="J46" s="1802">
        <f>IF($J$16&gt;=0,0,"F7,c60,r60&gt;=0")</f>
        <v>0</v>
      </c>
      <c r="K46" s="1802"/>
      <c r="L46" s="1802"/>
      <c r="M46" s="1803"/>
    </row>
    <row r="47" spans="1:13">
      <c r="A47" s="1100" t="s">
        <v>718</v>
      </c>
      <c r="B47" s="880"/>
      <c r="C47" s="880"/>
      <c r="D47" s="880"/>
      <c r="E47" s="1802">
        <f>IF($E$17&gt;=0,0,"F7,c10,r70&gt;=0")</f>
        <v>0</v>
      </c>
      <c r="F47" s="1802">
        <f>IF($F$17&gt;=0,0,"F7,c20,r70&gt;=0")</f>
        <v>0</v>
      </c>
      <c r="G47" s="1802">
        <f>IF($G$17&gt;=0,0,"F7,c30,r70&gt;=0")</f>
        <v>0</v>
      </c>
      <c r="H47" s="1802">
        <f>IF($H$17&gt;=0,0,"F7,c40,r70&gt;=0")</f>
        <v>0</v>
      </c>
      <c r="I47" s="1802">
        <f>IF($I$17&gt;=0,0,"F7,c50,r70&gt;=0")</f>
        <v>0</v>
      </c>
      <c r="J47" s="1802">
        <f>IF($J$17&gt;=0,0,"F7,c60,r70&gt;=0")</f>
        <v>0</v>
      </c>
      <c r="K47" s="1802"/>
      <c r="L47" s="1803"/>
      <c r="M47" s="1802"/>
    </row>
    <row r="48" spans="1:13">
      <c r="A48" s="1100" t="s">
        <v>718</v>
      </c>
      <c r="B48" s="880"/>
      <c r="C48" s="880"/>
      <c r="D48" s="880"/>
      <c r="E48" s="1802">
        <f>IF($E$18&gt;=0,0,"F7,c10,r80&gt;=0")</f>
        <v>0</v>
      </c>
      <c r="F48" s="1802">
        <f>IF($F$18&gt;=0,0,"F7,c20,r80&gt;=0")</f>
        <v>0</v>
      </c>
      <c r="G48" s="1802">
        <f>IF($G$18&gt;=0,0,"F7,c30,r80&gt;=0")</f>
        <v>0</v>
      </c>
      <c r="H48" s="1802">
        <f>IF($H$18&gt;=0,0,"F7,c40,r80&gt;=0")</f>
        <v>0</v>
      </c>
      <c r="I48" s="1802">
        <f>IF($I$18&gt;=0,0,"F7,c50,r80&gt;=0")</f>
        <v>0</v>
      </c>
      <c r="J48" s="1802">
        <f>IF($J$18&gt;=0,0,"F7,c60,r80&gt;=0")</f>
        <v>0</v>
      </c>
      <c r="K48" s="1802"/>
      <c r="L48" s="1802"/>
      <c r="M48" s="1803"/>
    </row>
    <row r="49" spans="1:15">
      <c r="A49" s="1100" t="s">
        <v>718</v>
      </c>
      <c r="B49" s="880"/>
      <c r="C49" s="880"/>
      <c r="D49" s="880"/>
      <c r="E49" s="1802">
        <f>IF($E$19&gt;=0,0,"F7,c10,r90&gt;=0")</f>
        <v>0</v>
      </c>
      <c r="F49" s="1802">
        <f>IF($F$19&gt;=0,0,"F7,c20,r90&gt;=0")</f>
        <v>0</v>
      </c>
      <c r="G49" s="1802">
        <f>IF($G$19&gt;=0,0,"F7,c30,r90&gt;=0")</f>
        <v>0</v>
      </c>
      <c r="H49" s="1802">
        <f>IF($H$19&gt;=0,0,"F7,c40,r90&gt;=0")</f>
        <v>0</v>
      </c>
      <c r="I49" s="1802">
        <f>IF($I$19&gt;=0,0,"F7,c50,r90&gt;=0")</f>
        <v>0</v>
      </c>
      <c r="J49" s="1802">
        <f>IF($J$19&gt;=0,0,"F7,c60,r90&gt;=0")</f>
        <v>0</v>
      </c>
      <c r="K49" s="1802"/>
      <c r="L49" s="1803"/>
      <c r="M49" s="1803"/>
    </row>
    <row r="50" spans="1:15">
      <c r="A50" s="1100" t="s">
        <v>718</v>
      </c>
      <c r="B50" s="880"/>
      <c r="C50" s="880"/>
      <c r="D50" s="880"/>
      <c r="E50" s="1802">
        <f>IF($E$20&gt;=0,0,"F7,c10,r100&gt;=0")</f>
        <v>0</v>
      </c>
      <c r="F50" s="1802">
        <f>IF($F$20&gt;=0,0,"F7,c20,r100&gt;=0")</f>
        <v>0</v>
      </c>
      <c r="G50" s="1802">
        <f>IF($G$20&gt;=0,0,"F7,c30,r100&gt;=0")</f>
        <v>0</v>
      </c>
      <c r="H50" s="1802">
        <f>IF($H$20&gt;=0,0,"F7,c40,r100&gt;=0")</f>
        <v>0</v>
      </c>
      <c r="I50" s="1802">
        <f>IF($I$20&gt;=0,0,"F7,c50,r100&gt;=0")</f>
        <v>0</v>
      </c>
      <c r="J50" s="1802">
        <f>IF($J$20&gt;=0,0,"F7,c60,r100&gt;=0")</f>
        <v>0</v>
      </c>
      <c r="K50" s="1802"/>
      <c r="L50" s="1802"/>
      <c r="M50" s="1802"/>
    </row>
    <row r="51" spans="1:15">
      <c r="A51" s="1100" t="s">
        <v>718</v>
      </c>
      <c r="B51" s="880"/>
      <c r="C51" s="880"/>
      <c r="D51" s="880"/>
      <c r="E51" s="1802">
        <f>IF($E$21&gt;=0,0,"F7,c10,r110&gt;=0")</f>
        <v>0</v>
      </c>
      <c r="F51" s="1802">
        <f>IF($F$21&gt;=0,0,"F7,c20,r110&gt;=0")</f>
        <v>0</v>
      </c>
      <c r="G51" s="1802">
        <f>IF($G$21&gt;=0,0,"F7,c30,r110&gt;=0")</f>
        <v>0</v>
      </c>
      <c r="H51" s="1802">
        <f>IF($H$21&gt;=0,0,"F7,c40,r110&gt;=0")</f>
        <v>0</v>
      </c>
      <c r="I51" s="1802">
        <f>IF($I$21&gt;=0,0,"F7,c50,r110&gt;=0")</f>
        <v>0</v>
      </c>
      <c r="J51" s="1802">
        <f>IF($J$21&gt;=0,0,"F7,c60,r110&gt;=0")</f>
        <v>0</v>
      </c>
      <c r="K51" s="1802">
        <f>IF(K16&gt;=0,0,"F7,c70&gt;=0")</f>
        <v>0</v>
      </c>
      <c r="L51" s="1802">
        <f>IF(L16&gt;=0,0,"F7,c80&gt;=0")</f>
        <v>0</v>
      </c>
      <c r="M51" s="1802">
        <f>IF(M16&gt;=0,0,"F7,c90&gt;=0")</f>
        <v>0</v>
      </c>
    </row>
    <row r="52" spans="1:15">
      <c r="A52" s="1100" t="s">
        <v>718</v>
      </c>
      <c r="B52" s="880"/>
      <c r="C52" s="880"/>
      <c r="D52" s="880"/>
      <c r="E52" s="1802">
        <f>IF($E$22&gt;=0,0,"F7,c10,r120&gt;=0")</f>
        <v>0</v>
      </c>
      <c r="F52" s="1802">
        <f>IF($F$22&gt;=0,0,"F7,c20,r120&gt;=0")</f>
        <v>0</v>
      </c>
      <c r="G52" s="1802">
        <f>IF($G$22&gt;=0,0,"F7,c30,r120&gt;=0")</f>
        <v>0</v>
      </c>
      <c r="H52" s="1802">
        <f>IF($H$22&gt;=0,0,"F7,c40,r120&gt;=0")</f>
        <v>0</v>
      </c>
      <c r="I52" s="1802">
        <f>IF($I$22&gt;=0,0,"F7,c50,r120&gt;=0")</f>
        <v>0</v>
      </c>
      <c r="J52" s="1802">
        <f>IF($J$22&gt;=0,0,"F7,c60,r120&gt;=0")</f>
        <v>0</v>
      </c>
      <c r="K52" s="1802">
        <f t="shared" ref="K52:K63" si="2">IF(K17&gt;=0,0,"F7,c70&gt;=0")</f>
        <v>0</v>
      </c>
      <c r="L52" s="1802">
        <f t="shared" ref="L52:L64" si="3">IF(L17&gt;=0,0,"F7,c80&gt;=0")</f>
        <v>0</v>
      </c>
      <c r="M52" s="1802">
        <f t="shared" ref="M52:M64" si="4">IF(M17&gt;=0,0,"F7,c90&gt;=0")</f>
        <v>0</v>
      </c>
    </row>
    <row r="53" spans="1:15">
      <c r="A53" s="1100" t="s">
        <v>718</v>
      </c>
      <c r="B53" s="880"/>
      <c r="C53" s="880"/>
      <c r="D53" s="880"/>
      <c r="E53" s="1802">
        <f>IF($E$23&gt;=0,0,"F7,c10,r130&gt;=0")</f>
        <v>0</v>
      </c>
      <c r="F53" s="1802">
        <f>IF($F$23&gt;=0,0,"F7,c20,r130&gt;=0")</f>
        <v>0</v>
      </c>
      <c r="G53" s="1802">
        <f>IF($G$23&gt;=0,0,"F7,c30,r130&gt;=0")</f>
        <v>0</v>
      </c>
      <c r="H53" s="1802">
        <f>IF($H$23&gt;=0,0,"F7,c40,r130&gt;=0")</f>
        <v>0</v>
      </c>
      <c r="I53" s="1802">
        <f>IF($I$23&gt;=0,0,"F7,c50,r130&gt;=0")</f>
        <v>0</v>
      </c>
      <c r="J53" s="1802">
        <f>IF($J$23&gt;=0,0,"F7,c60,r130&gt;=0")</f>
        <v>0</v>
      </c>
      <c r="K53" s="1802">
        <f t="shared" si="2"/>
        <v>0</v>
      </c>
      <c r="L53" s="1802">
        <f t="shared" si="3"/>
        <v>0</v>
      </c>
      <c r="M53" s="1802">
        <f t="shared" si="4"/>
        <v>0</v>
      </c>
    </row>
    <row r="54" spans="1:15">
      <c r="A54" s="1100" t="s">
        <v>718</v>
      </c>
      <c r="B54" s="880"/>
      <c r="C54" s="880"/>
      <c r="D54" s="880"/>
      <c r="E54" s="1802">
        <f>IF($E$24&gt;=0,0,"F7,c10,r140&gt;=0")</f>
        <v>0</v>
      </c>
      <c r="F54" s="1802">
        <f>IF($F$24&gt;=0,0,"F7,c20,r140&gt;=0")</f>
        <v>0</v>
      </c>
      <c r="G54" s="1802">
        <f>IF($G$24&gt;=0,0,"F7,c30,r140&gt;=0")</f>
        <v>0</v>
      </c>
      <c r="H54" s="1802">
        <f>IF($H$24&gt;=0,0,"F7,c40,r140&gt;=0")</f>
        <v>0</v>
      </c>
      <c r="I54" s="1802">
        <f>IF($I$24&gt;=0,0,"F7,c50,r140&gt;=0")</f>
        <v>0</v>
      </c>
      <c r="J54" s="1802">
        <f>IF($J$24&gt;=0,0,"F7,c60,r140&gt;=0")</f>
        <v>0</v>
      </c>
      <c r="K54" s="1802">
        <f t="shared" si="2"/>
        <v>0</v>
      </c>
      <c r="L54" s="1802">
        <f t="shared" si="3"/>
        <v>0</v>
      </c>
      <c r="M54" s="1802">
        <f t="shared" si="4"/>
        <v>0</v>
      </c>
    </row>
    <row r="55" spans="1:15">
      <c r="A55" s="1100" t="s">
        <v>718</v>
      </c>
      <c r="B55" s="880"/>
      <c r="C55" s="880"/>
      <c r="D55" s="880"/>
      <c r="E55" s="1802">
        <f>IF($E$25&gt;=0,0,"F7,c10,r150&gt;=0")</f>
        <v>0</v>
      </c>
      <c r="F55" s="1802">
        <f>IF($F$25&gt;=0,0,"F7,c20,r150&gt;=0")</f>
        <v>0</v>
      </c>
      <c r="G55" s="1802">
        <f>IF($G$25&gt;=0,0,"F7,c30,r150&gt;=0")</f>
        <v>0</v>
      </c>
      <c r="H55" s="1802">
        <f>IF($H$25&gt;=0,0,"F7,c40,r150&gt;=0")</f>
        <v>0</v>
      </c>
      <c r="I55" s="1802">
        <f>IF($I$25&gt;=0,0,"F7,c50,r150&gt;=0")</f>
        <v>0</v>
      </c>
      <c r="J55" s="1802">
        <f>IF($J$25&gt;=0,0,"F7,c60,r150&gt;=0")</f>
        <v>0</v>
      </c>
      <c r="K55" s="1802">
        <f t="shared" si="2"/>
        <v>0</v>
      </c>
      <c r="L55" s="1802">
        <f t="shared" si="3"/>
        <v>0</v>
      </c>
      <c r="M55" s="1802">
        <f t="shared" si="4"/>
        <v>0</v>
      </c>
    </row>
    <row r="56" spans="1:15">
      <c r="A56" s="1100" t="s">
        <v>718</v>
      </c>
      <c r="B56" s="880"/>
      <c r="C56" s="880"/>
      <c r="D56" s="880"/>
      <c r="E56" s="1802">
        <f>IF($E$26&gt;=0,0,"F7,c10,r160&gt;=0")</f>
        <v>0</v>
      </c>
      <c r="F56" s="1802">
        <f>IF($F$26&gt;=0,0,"F7,c20,r160&gt;=0")</f>
        <v>0</v>
      </c>
      <c r="G56" s="1802">
        <f>IF($G$26&gt;=0,0,"F7,c30,r160&gt;=0")</f>
        <v>0</v>
      </c>
      <c r="H56" s="1802">
        <f>IF($H$26&gt;=0,0,"F7,c40,r160&gt;=0")</f>
        <v>0</v>
      </c>
      <c r="I56" s="1802">
        <f>IF($I$26&gt;=0,0,"F7,c50,r160&gt;=0")</f>
        <v>0</v>
      </c>
      <c r="J56" s="1802">
        <f>IF($J$26&gt;=0,0,"F7,c60,r160&gt;=0")</f>
        <v>0</v>
      </c>
      <c r="K56" s="1802">
        <f t="shared" si="2"/>
        <v>0</v>
      </c>
      <c r="L56" s="1802">
        <f t="shared" si="3"/>
        <v>0</v>
      </c>
      <c r="M56" s="1802">
        <f t="shared" si="4"/>
        <v>0</v>
      </c>
    </row>
    <row r="57" spans="1:15">
      <c r="A57" s="1100" t="s">
        <v>718</v>
      </c>
      <c r="B57" s="880"/>
      <c r="C57" s="880"/>
      <c r="D57" s="880"/>
      <c r="E57" s="1802">
        <f>IF($E$27&gt;=0,0,"F7,c10,r170&gt;=0")</f>
        <v>0</v>
      </c>
      <c r="F57" s="1802">
        <f>IF($F$27&gt;=0,0,"F7,c20,r170&gt;=0")</f>
        <v>0</v>
      </c>
      <c r="G57" s="1802">
        <f>IF($G$27&gt;=0,0,"F7,c30,r170&gt;=0")</f>
        <v>0</v>
      </c>
      <c r="H57" s="1802">
        <f>IF($H$27&gt;=0,0,"F7,c40,r170&gt;=0")</f>
        <v>0</v>
      </c>
      <c r="I57" s="1802">
        <f>IF($I$27&gt;=0,0,"F7,c50,r170&gt;=0")</f>
        <v>0</v>
      </c>
      <c r="J57" s="1802">
        <f>IF($J$27&gt;=0,0,"F7,c60,r170&gt;=0")</f>
        <v>0</v>
      </c>
      <c r="K57" s="1802">
        <f t="shared" si="2"/>
        <v>0</v>
      </c>
      <c r="L57" s="1802">
        <f t="shared" si="3"/>
        <v>0</v>
      </c>
      <c r="M57" s="1802">
        <f t="shared" si="4"/>
        <v>0</v>
      </c>
    </row>
    <row r="58" spans="1:15">
      <c r="A58" s="1100" t="s">
        <v>718</v>
      </c>
      <c r="B58" s="880"/>
      <c r="C58" s="880"/>
      <c r="D58" s="880"/>
      <c r="E58" s="1802">
        <f>IF($E$28&gt;=0,0,"F7,c10,r180&gt;=0")</f>
        <v>0</v>
      </c>
      <c r="F58" s="1802">
        <f>IF($F$28&gt;=0,0,"F7,c20,r180&gt;=0")</f>
        <v>0</v>
      </c>
      <c r="G58" s="1802">
        <f>IF($G$28&gt;=0,0,"F7,c30,r180&gt;=0")</f>
        <v>0</v>
      </c>
      <c r="H58" s="1802">
        <f>IF($H$28&gt;=0,0,"F7,c40,r180&gt;=0")</f>
        <v>0</v>
      </c>
      <c r="I58" s="1802">
        <f>IF($I$28&gt;=0,0,"F7,c50,r180&gt;=0")</f>
        <v>0</v>
      </c>
      <c r="J58" s="1802">
        <f>IF($J$28&gt;=0,0,"F7,c60,r180&gt;=0")</f>
        <v>0</v>
      </c>
      <c r="K58" s="1802">
        <f t="shared" si="2"/>
        <v>0</v>
      </c>
      <c r="L58" s="1802">
        <f t="shared" si="3"/>
        <v>0</v>
      </c>
      <c r="M58" s="1802">
        <f t="shared" si="4"/>
        <v>0</v>
      </c>
    </row>
    <row r="59" spans="1:15">
      <c r="A59" s="1100" t="s">
        <v>718</v>
      </c>
      <c r="B59" s="880"/>
      <c r="C59" s="880"/>
      <c r="D59" s="880"/>
      <c r="E59" s="1802">
        <f>IF($E$29&gt;=0,0,"F7,c10,r190&gt;=0")</f>
        <v>0</v>
      </c>
      <c r="F59" s="1802">
        <f>IF($F$29&gt;=0,0,"F7,c20,r190&gt;=0")</f>
        <v>0</v>
      </c>
      <c r="G59" s="1802">
        <f>IF($G$29&gt;=0,0,"F7,c30,r190&gt;=0")</f>
        <v>0</v>
      </c>
      <c r="H59" s="1802">
        <f>IF($H$29&gt;=0,0,"F7,c40,r190&gt;=0")</f>
        <v>0</v>
      </c>
      <c r="I59" s="1802">
        <f>IF($I$29&gt;=0,0,"F7,c50,r190&gt;=0")</f>
        <v>0</v>
      </c>
      <c r="J59" s="1802">
        <f>IF($J$29&gt;=0,0,"F7,c60,r190&gt;=0")</f>
        <v>0</v>
      </c>
      <c r="K59" s="1802">
        <f t="shared" si="2"/>
        <v>0</v>
      </c>
      <c r="L59" s="1802">
        <f t="shared" si="3"/>
        <v>0</v>
      </c>
      <c r="M59" s="1802">
        <f t="shared" si="4"/>
        <v>0</v>
      </c>
      <c r="N59" s="881"/>
      <c r="O59" s="881"/>
    </row>
    <row r="60" spans="1:15">
      <c r="A60" s="1100" t="s">
        <v>718</v>
      </c>
      <c r="B60" s="880"/>
      <c r="C60" s="880"/>
      <c r="D60" s="880"/>
      <c r="E60" s="1802">
        <f>IF($E$31&gt;=0,0,"F7,c10,r200&gt;=0")</f>
        <v>0</v>
      </c>
      <c r="F60" s="1802">
        <f>IF($F$31&gt;=0,0,"F7,c20,r200&gt;=0")</f>
        <v>0</v>
      </c>
      <c r="G60" s="1802">
        <f>IF($G$31&gt;=0,0,"F7,c30,r200&gt;=0")</f>
        <v>0</v>
      </c>
      <c r="H60" s="1802">
        <f>IF($H$31&gt;=0,0,"F7,c40,r200&gt;=0")</f>
        <v>0</v>
      </c>
      <c r="I60" s="1802">
        <f>IF($I$31&gt;=0,0,"F7,c50,r200&gt;=0")</f>
        <v>0</v>
      </c>
      <c r="J60" s="1802">
        <f>IF($J$31&gt;=0,0,"F7,c60,r200&gt;=0")</f>
        <v>0</v>
      </c>
      <c r="K60" s="1802">
        <f t="shared" si="2"/>
        <v>0</v>
      </c>
      <c r="L60" s="1802">
        <f t="shared" si="3"/>
        <v>0</v>
      </c>
      <c r="M60" s="1802">
        <f t="shared" si="4"/>
        <v>0</v>
      </c>
      <c r="N60" s="881"/>
      <c r="O60" s="881"/>
    </row>
    <row r="61" spans="1:15">
      <c r="A61" s="1100" t="s">
        <v>718</v>
      </c>
      <c r="B61" s="880"/>
      <c r="C61" s="880"/>
      <c r="D61" s="880"/>
      <c r="E61" s="1802">
        <f>IF($E$32&gt;=0,0,"F7,c10,r210&gt;=0")</f>
        <v>0</v>
      </c>
      <c r="F61" s="1802">
        <f>IF($F$32&gt;=0,0,"F7,c20,r210&gt;=0")</f>
        <v>0</v>
      </c>
      <c r="G61" s="1802">
        <f>IF($G$32&gt;=0,0,"F7,c30,r210&gt;=0")</f>
        <v>0</v>
      </c>
      <c r="H61" s="1802">
        <f>IF($H$32&gt;=0,0,"F7,c40,r210&gt;=0")</f>
        <v>0</v>
      </c>
      <c r="I61" s="1802">
        <f>IF($I$32&gt;=0,0,"F7,c50,r210&gt;=0")</f>
        <v>0</v>
      </c>
      <c r="J61" s="1802">
        <f>IF($J$32&gt;=0,0,"F7,c60,r210&gt;=0")</f>
        <v>0</v>
      </c>
      <c r="K61" s="1802">
        <f t="shared" si="2"/>
        <v>0</v>
      </c>
      <c r="L61" s="1802">
        <f t="shared" si="3"/>
        <v>0</v>
      </c>
      <c r="M61" s="1802">
        <f t="shared" si="4"/>
        <v>0</v>
      </c>
      <c r="N61" s="881"/>
      <c r="O61" s="881"/>
    </row>
    <row r="62" spans="1:15">
      <c r="A62" s="1100" t="s">
        <v>718</v>
      </c>
      <c r="B62" s="880"/>
      <c r="C62" s="880"/>
      <c r="D62" s="880"/>
      <c r="E62" s="1802">
        <f>IF($E$33&gt;=0,0,"F7,c10,r220&gt;=0")</f>
        <v>0</v>
      </c>
      <c r="F62" s="1802">
        <f>IF($F$33&gt;=0,0,"F7,c20,r220&gt;=0")</f>
        <v>0</v>
      </c>
      <c r="G62" s="1802">
        <f>IF($G$33&gt;=0,0,"F7,c30,r220&gt;=0")</f>
        <v>0</v>
      </c>
      <c r="H62" s="1802">
        <f>IF($H$33&gt;=0,0,"F7,c40,r220&gt;=0")</f>
        <v>0</v>
      </c>
      <c r="I62" s="1802">
        <f>IF($I$33&gt;=0,0,"F7,c50,r220&gt;=0")</f>
        <v>0</v>
      </c>
      <c r="J62" s="1802">
        <f>IF($J$33&gt;=0,0,"F7,c60,r220&gt;=0")</f>
        <v>0</v>
      </c>
      <c r="K62" s="1802">
        <f t="shared" si="2"/>
        <v>0</v>
      </c>
      <c r="L62" s="1802">
        <f t="shared" si="3"/>
        <v>0</v>
      </c>
      <c r="M62" s="1802">
        <f t="shared" si="4"/>
        <v>0</v>
      </c>
      <c r="N62" s="820"/>
      <c r="O62" s="881"/>
    </row>
    <row r="63" spans="1:15">
      <c r="A63" s="1100" t="s">
        <v>718</v>
      </c>
      <c r="B63" s="880"/>
      <c r="C63" s="880"/>
      <c r="D63" s="880"/>
      <c r="E63" s="1802">
        <f>IF($E$34&gt;=0,0,"F7,c10,r230&gt;=0")</f>
        <v>0</v>
      </c>
      <c r="F63" s="1802">
        <f>IF($F$34&gt;=0,0,"F7,c20,r230&gt;=0")</f>
        <v>0</v>
      </c>
      <c r="G63" s="1802">
        <f>IF($G$34&gt;=0,0,"F7,c30,r230&gt;=0")</f>
        <v>0</v>
      </c>
      <c r="H63" s="1802">
        <f>IF($H$34&gt;=0,0,"F7,c40,r230&gt;=0")</f>
        <v>0</v>
      </c>
      <c r="I63" s="1802">
        <f>IF($I$34&gt;=0,0,"F7,c50,r230&gt;=0")</f>
        <v>0</v>
      </c>
      <c r="J63" s="1802">
        <f>IF($J$34&gt;=0,0,"F7,c60,r230&gt;=0")</f>
        <v>0</v>
      </c>
      <c r="K63" s="1802">
        <f t="shared" si="2"/>
        <v>0</v>
      </c>
      <c r="L63" s="1802">
        <f t="shared" si="3"/>
        <v>0</v>
      </c>
      <c r="M63" s="1802">
        <f t="shared" si="4"/>
        <v>0</v>
      </c>
      <c r="N63" s="820"/>
      <c r="O63" s="881"/>
    </row>
    <row r="64" spans="1:15">
      <c r="A64" s="1100" t="s">
        <v>718</v>
      </c>
      <c r="B64" s="880"/>
      <c r="C64" s="880"/>
      <c r="D64" s="880"/>
      <c r="E64" s="1802">
        <f>IF($E$35&gt;=0,0,"F7,c10,r240&gt;=0")</f>
        <v>0</v>
      </c>
      <c r="F64" s="1802">
        <f>IF($F$35&gt;=0,0,"F7,c20,r240&gt;=0")</f>
        <v>0</v>
      </c>
      <c r="G64" s="1802">
        <f>IF($G$35&gt;=0,0,"F7,c30,r240&gt;=0")</f>
        <v>0</v>
      </c>
      <c r="H64" s="1802">
        <f>IF($H$35&gt;=0,0,"F7,c40,r240&gt;=0")</f>
        <v>0</v>
      </c>
      <c r="I64" s="1802">
        <f>IF($I$35&gt;=0,0,"F7,c50,r240&gt;=0")</f>
        <v>0</v>
      </c>
      <c r="J64" s="1802">
        <f>IF($J$35&gt;=0,0,"F7,c60,r240&gt;=0")</f>
        <v>0</v>
      </c>
      <c r="K64" s="1802">
        <f>IF(K29&gt;=0,0,"F7,c70&gt;=0")</f>
        <v>0</v>
      </c>
      <c r="L64" s="1802">
        <f t="shared" si="3"/>
        <v>0</v>
      </c>
      <c r="M64" s="1802">
        <f t="shared" si="4"/>
        <v>0</v>
      </c>
      <c r="N64" s="820"/>
      <c r="O64" s="820"/>
    </row>
    <row r="65" spans="1:15">
      <c r="A65" s="1100" t="s">
        <v>718</v>
      </c>
      <c r="B65" s="880"/>
      <c r="C65" s="880"/>
      <c r="D65" s="880"/>
      <c r="E65" s="1802">
        <f>IF($E$36&gt;=0,0,"F7,c10,r250&gt;=0")</f>
        <v>0</v>
      </c>
      <c r="F65" s="1802">
        <f>IF($F$36&gt;=0,0,"F7,c20,r250&gt;=0")</f>
        <v>0</v>
      </c>
      <c r="G65" s="1802">
        <f>IF($G$36&gt;=0,0,"F7,c30,r250&gt;=0")</f>
        <v>0</v>
      </c>
      <c r="H65" s="1802">
        <f>IF($H$36&gt;=0,0,"F7,c40,r250&gt;=0")</f>
        <v>0</v>
      </c>
      <c r="I65" s="1802">
        <f>IF($I$36&gt;=0,0,"F7,c50,r250&gt;=0")</f>
        <v>0</v>
      </c>
      <c r="J65" s="1802">
        <f>IF($J$36&gt;=0,0,"F7,c60,r250&gt;=0")</f>
        <v>0</v>
      </c>
      <c r="K65" s="1802">
        <f>IF(K31&gt;=0,0,"F7,c70&gt;=0")</f>
        <v>0</v>
      </c>
      <c r="L65" s="1802">
        <f>IF(L31&gt;=0,0,"F7,c80&gt;=0")</f>
        <v>0</v>
      </c>
      <c r="M65" s="1802">
        <f>IF(M31&gt;=0,0,"F7,c90&gt;=0")</f>
        <v>0</v>
      </c>
      <c r="N65" s="820"/>
      <c r="O65" s="820"/>
    </row>
    <row r="66" spans="1:15">
      <c r="A66" s="1100" t="s">
        <v>718</v>
      </c>
      <c r="B66" s="880"/>
      <c r="C66" s="880"/>
      <c r="D66" s="880"/>
      <c r="E66" s="1802">
        <f>IF($E$37&gt;=0,0,"F7,c10,r260&gt;=0")</f>
        <v>0</v>
      </c>
      <c r="F66" s="1802">
        <f>IF($F$37&gt;=0,0,"F7,c20,r260&gt;=0")</f>
        <v>0</v>
      </c>
      <c r="G66" s="1802">
        <f>IF($G$37&gt;=0,0,"F7,c30,r260&gt;=0")</f>
        <v>0</v>
      </c>
      <c r="H66" s="1802">
        <f>IF($H$37&gt;=0,0,"F7,c40,r260&gt;=0")</f>
        <v>0</v>
      </c>
      <c r="I66" s="1802">
        <f>IF($I$37&gt;=0,0,"F7,c50,r260&gt;=0")</f>
        <v>0</v>
      </c>
      <c r="J66" s="1802">
        <f>IF($J$37&gt;=0,0,"F7,c60,r260&gt;=0")</f>
        <v>0</v>
      </c>
      <c r="K66" s="1802">
        <f t="shared" ref="K66:K76" si="5">IF(K32&gt;=0,0,"F7,c70&gt;=0")</f>
        <v>0</v>
      </c>
      <c r="L66" s="1802">
        <f t="shared" ref="L66:L76" si="6">IF(L32&gt;=0,0,"F7,c80&gt;=0")</f>
        <v>0</v>
      </c>
      <c r="M66" s="1802">
        <f t="shared" ref="M66:M76" si="7">IF(M32&gt;=0,0,"F7,c90&gt;=0")</f>
        <v>0</v>
      </c>
      <c r="N66" s="820"/>
      <c r="O66" s="820"/>
    </row>
    <row r="67" spans="1:15">
      <c r="A67" s="1100" t="s">
        <v>718</v>
      </c>
      <c r="B67" s="880"/>
      <c r="C67" s="880"/>
      <c r="D67" s="880"/>
      <c r="E67" s="1802">
        <f>IF($E$38&gt;=0,0,"F7,c10,r270&gt;=0")</f>
        <v>0</v>
      </c>
      <c r="F67" s="1802">
        <f>IF($F$38&gt;=0,0,"F7,c20,r270&gt;=0")</f>
        <v>0</v>
      </c>
      <c r="G67" s="1802">
        <f>IF($G$38&gt;=0,0,"F7,c30,r270&gt;=0")</f>
        <v>0</v>
      </c>
      <c r="H67" s="1802">
        <f>IF($H$38&gt;=0,0,"F7,c40,r270&gt;=0")</f>
        <v>0</v>
      </c>
      <c r="I67" s="1802">
        <f>IF($I$38&gt;=0,0,"F7,c50,r270&gt;=0")</f>
        <v>0</v>
      </c>
      <c r="J67" s="1802">
        <f>IF($J$38&gt;=0,0,"F7,c60,r270&gt;=0")</f>
        <v>0</v>
      </c>
      <c r="K67" s="1802">
        <f t="shared" si="5"/>
        <v>0</v>
      </c>
      <c r="L67" s="1802">
        <f t="shared" si="6"/>
        <v>0</v>
      </c>
      <c r="M67" s="1802">
        <f t="shared" si="7"/>
        <v>0</v>
      </c>
      <c r="N67" s="820"/>
      <c r="O67" s="820"/>
    </row>
    <row r="68" spans="1:15">
      <c r="A68" s="1100" t="s">
        <v>718</v>
      </c>
      <c r="B68" s="880"/>
      <c r="C68" s="880"/>
      <c r="D68" s="880"/>
      <c r="E68" s="1802">
        <f>IF($E$39&gt;=0,0,"F7,c10,r280&gt;=0")</f>
        <v>0</v>
      </c>
      <c r="F68" s="1802">
        <f>IF($F$39&gt;=0,0,"F7,c20,r280&gt;=0")</f>
        <v>0</v>
      </c>
      <c r="G68" s="1802">
        <f>IF($G$39&gt;=0,0,"F7,c30,r280&gt;=0")</f>
        <v>0</v>
      </c>
      <c r="H68" s="1802">
        <f>IF($H$39&gt;=0,0,"F7,c40,r280&gt;=0")</f>
        <v>0</v>
      </c>
      <c r="I68" s="1802">
        <f>IF($I$39&gt;=0,0,"F7,c50,r280&gt;=0")</f>
        <v>0</v>
      </c>
      <c r="J68" s="1802">
        <f>IF($J$39&gt;=0,0,"F7,c60,r280&gt;=0")</f>
        <v>0</v>
      </c>
      <c r="K68" s="1802">
        <f t="shared" si="5"/>
        <v>0</v>
      </c>
      <c r="L68" s="1802">
        <f t="shared" si="6"/>
        <v>0</v>
      </c>
      <c r="M68" s="1802">
        <f t="shared" si="7"/>
        <v>0</v>
      </c>
      <c r="N68" s="820"/>
      <c r="O68" s="820"/>
    </row>
    <row r="69" spans="1:15">
      <c r="A69" s="1100" t="s">
        <v>718</v>
      </c>
      <c r="B69" s="880"/>
      <c r="C69" s="880"/>
      <c r="D69" s="880"/>
      <c r="E69" s="1802">
        <f>IF($E$40&gt;=0,0,"F7,c10,r290&gt;=0")</f>
        <v>0</v>
      </c>
      <c r="F69" s="1802">
        <f>IF($F$40&gt;=0,0,"F7,c20,r290&gt;=0")</f>
        <v>0</v>
      </c>
      <c r="G69" s="1802">
        <f>IF($G$40&gt;=0,0,"F7,c30,r290&gt;=0")</f>
        <v>0</v>
      </c>
      <c r="H69" s="1802">
        <f>IF($H$40&gt;=0,0,"F7,c40,r290&gt;=0")</f>
        <v>0</v>
      </c>
      <c r="I69" s="1802">
        <f>IF($I$40&gt;=0,0,"F7,c50,r290&gt;=0")</f>
        <v>0</v>
      </c>
      <c r="J69" s="1802">
        <f>IF($J$40&gt;=0,0,"F7,c60,r290&gt;=0")</f>
        <v>0</v>
      </c>
      <c r="K69" s="1802">
        <f t="shared" si="5"/>
        <v>0</v>
      </c>
      <c r="L69" s="1802">
        <f t="shared" si="6"/>
        <v>0</v>
      </c>
      <c r="M69" s="1802">
        <f t="shared" si="7"/>
        <v>0</v>
      </c>
      <c r="N69" s="820"/>
      <c r="O69" s="820"/>
    </row>
    <row r="70" spans="1:15">
      <c r="A70" s="1100" t="s">
        <v>718</v>
      </c>
      <c r="B70" s="880"/>
      <c r="C70" s="880"/>
      <c r="D70" s="880"/>
      <c r="E70" s="1802">
        <f>IF($E$41&gt;=0,0,"F7,c10,r300&gt;=0")</f>
        <v>0</v>
      </c>
      <c r="F70" s="1802">
        <f>IF($F$41&gt;=0,0,"F7,c20,r300&gt;=0")</f>
        <v>0</v>
      </c>
      <c r="G70" s="1802">
        <f>IF($G$41&gt;=0,0,"F7,c30,r300&gt;=0")</f>
        <v>0</v>
      </c>
      <c r="H70" s="1802">
        <f>IF($H$41&gt;=0,0,"F7,c40,r300&gt;=0")</f>
        <v>0</v>
      </c>
      <c r="I70" s="1802">
        <f>IF($I$41&gt;=0,0,"F7,c50,r300&gt;=0")</f>
        <v>0</v>
      </c>
      <c r="J70" s="1802">
        <f>IF($J$41&gt;=0,0,"F7,c60,r300&gt;=0")</f>
        <v>0</v>
      </c>
      <c r="K70" s="1802">
        <f t="shared" si="5"/>
        <v>0</v>
      </c>
      <c r="L70" s="1802">
        <f t="shared" si="6"/>
        <v>0</v>
      </c>
      <c r="M70" s="1802">
        <f t="shared" si="7"/>
        <v>0</v>
      </c>
      <c r="N70" s="820"/>
      <c r="O70" s="820"/>
    </row>
    <row r="71" spans="1:15">
      <c r="A71" s="1100" t="s">
        <v>718</v>
      </c>
      <c r="B71" s="880"/>
      <c r="C71" s="880"/>
      <c r="D71" s="880"/>
      <c r="E71" s="1802">
        <f>IF($E$42&gt;=0,0,"F7,c10,r310&gt;=0")</f>
        <v>0</v>
      </c>
      <c r="F71" s="1802">
        <f>IF($F$42&gt;=0,0,"F7,c20,r310&gt;=0")</f>
        <v>0</v>
      </c>
      <c r="G71" s="1802">
        <f>IF($G$42&gt;=0,0,"F7,c30,r310&gt;=0")</f>
        <v>0</v>
      </c>
      <c r="H71" s="1802">
        <f>IF($H$42&gt;=0,0,"F7,c40,r310&gt;=0")</f>
        <v>0</v>
      </c>
      <c r="I71" s="1802">
        <f>IF($I$42&gt;=0,0,"F7,c50,r310&gt;=0")</f>
        <v>0</v>
      </c>
      <c r="J71" s="1802">
        <f>IF($J$42&gt;=0,0,"F7,c60,r310&gt;=0")</f>
        <v>0</v>
      </c>
      <c r="K71" s="1802">
        <f t="shared" si="5"/>
        <v>0</v>
      </c>
      <c r="L71" s="1802">
        <f t="shared" si="6"/>
        <v>0</v>
      </c>
      <c r="M71" s="1802">
        <f t="shared" si="7"/>
        <v>0</v>
      </c>
      <c r="N71" s="820"/>
      <c r="O71" s="820"/>
    </row>
    <row r="72" spans="1:15">
      <c r="A72" s="1100" t="s">
        <v>718</v>
      </c>
      <c r="B72" s="880"/>
      <c r="C72" s="880"/>
      <c r="D72" s="880"/>
      <c r="E72" s="1803"/>
      <c r="F72" s="1803"/>
      <c r="G72" s="1804"/>
      <c r="H72" s="1804"/>
      <c r="I72" s="1804"/>
      <c r="J72" s="1804"/>
      <c r="K72" s="1802">
        <f t="shared" si="5"/>
        <v>0</v>
      </c>
      <c r="L72" s="1802">
        <f t="shared" si="6"/>
        <v>0</v>
      </c>
      <c r="M72" s="1802">
        <f t="shared" si="7"/>
        <v>0</v>
      </c>
      <c r="N72" s="820"/>
      <c r="O72" s="820"/>
    </row>
    <row r="73" spans="1:15">
      <c r="A73" s="1100" t="s">
        <v>718</v>
      </c>
      <c r="B73" s="880"/>
      <c r="C73" s="880"/>
      <c r="D73" s="880"/>
      <c r="E73" s="1803"/>
      <c r="F73" s="1803"/>
      <c r="G73" s="2021"/>
      <c r="H73" s="2021"/>
      <c r="I73" s="2021"/>
      <c r="J73" s="2021"/>
      <c r="K73" s="1802">
        <f t="shared" si="5"/>
        <v>0</v>
      </c>
      <c r="L73" s="1802">
        <f t="shared" si="6"/>
        <v>0</v>
      </c>
      <c r="M73" s="1802">
        <f t="shared" si="7"/>
        <v>0</v>
      </c>
      <c r="N73" s="820"/>
      <c r="O73" s="820"/>
    </row>
    <row r="74" spans="1:15">
      <c r="A74" s="1100" t="s">
        <v>718</v>
      </c>
      <c r="B74" s="880"/>
      <c r="C74" s="880"/>
      <c r="D74" s="880"/>
      <c r="E74" s="1803"/>
      <c r="F74" s="1803"/>
      <c r="G74" s="1804"/>
      <c r="H74" s="1804"/>
      <c r="I74" s="1804"/>
      <c r="J74" s="1804"/>
      <c r="K74" s="1802">
        <f t="shared" si="5"/>
        <v>0</v>
      </c>
      <c r="L74" s="1802">
        <f t="shared" si="6"/>
        <v>0</v>
      </c>
      <c r="M74" s="1802">
        <f t="shared" si="7"/>
        <v>0</v>
      </c>
      <c r="N74" s="820"/>
      <c r="O74" s="820"/>
    </row>
    <row r="75" spans="1:15">
      <c r="A75" s="1100" t="s">
        <v>718</v>
      </c>
      <c r="B75" s="880"/>
      <c r="C75" s="880"/>
      <c r="D75" s="880"/>
      <c r="E75" s="1803"/>
      <c r="F75" s="1803"/>
      <c r="G75" s="1804"/>
      <c r="H75" s="1804"/>
      <c r="I75" s="1804"/>
      <c r="J75" s="1804"/>
      <c r="K75" s="1802">
        <f t="shared" si="5"/>
        <v>0</v>
      </c>
      <c r="L75" s="1802">
        <f t="shared" si="6"/>
        <v>0</v>
      </c>
      <c r="M75" s="1802">
        <f t="shared" si="7"/>
        <v>0</v>
      </c>
      <c r="N75" s="820"/>
      <c r="O75" s="820"/>
    </row>
    <row r="76" spans="1:15">
      <c r="A76" s="1156" t="s">
        <v>724</v>
      </c>
      <c r="B76" s="880"/>
      <c r="C76" s="880"/>
      <c r="D76" s="880"/>
      <c r="E76" s="1802"/>
      <c r="F76" s="1804"/>
      <c r="G76" s="1803"/>
      <c r="H76" s="1803"/>
      <c r="I76" s="1803"/>
      <c r="J76" s="1803"/>
      <c r="K76" s="1802">
        <f t="shared" si="5"/>
        <v>0</v>
      </c>
      <c r="L76" s="1802">
        <f t="shared" si="6"/>
        <v>0</v>
      </c>
      <c r="M76" s="1802">
        <f t="shared" si="7"/>
        <v>0</v>
      </c>
    </row>
    <row r="77" spans="1:15" s="1799" customFormat="1" ht="25.5" customHeight="1">
      <c r="A77" s="1805"/>
      <c r="B77" s="1800"/>
      <c r="C77" s="1800"/>
      <c r="D77" s="1800"/>
      <c r="E77" s="1806">
        <f>IF(E$42&lt;=E$22,0,"c010(r310&lt;=r120)")</f>
        <v>0</v>
      </c>
      <c r="F77" s="1806">
        <f>IF(F$42&lt;=F$22,0,"c020(r310&lt;=r120)")</f>
        <v>0</v>
      </c>
      <c r="G77" s="1806">
        <f>IF(G$42&lt;=G$22,0,"c030(r310&lt;=r120)")</f>
        <v>0</v>
      </c>
      <c r="H77" s="1806">
        <f>IF(H$42&lt;=H$22,0,"c040(r310&lt;=r120)")</f>
        <v>0</v>
      </c>
      <c r="I77" s="1806">
        <f>IF(I$42&lt;=I$22,0,"c050(r310&lt;=r120)")</f>
        <v>0</v>
      </c>
      <c r="J77" s="1806">
        <f>IF(J$42&lt;=J$22,0,"c060(r310&lt;=r120)")</f>
        <v>0</v>
      </c>
      <c r="K77" s="1806">
        <f>IF(K$42&lt;=K$22,0,"c070(r310&lt;=r120)")</f>
        <v>0</v>
      </c>
      <c r="L77" s="1807">
        <f>IF(L$42&lt;=L$22,0,"c080(r310&lt;=r120)")</f>
        <v>0</v>
      </c>
      <c r="M77" s="1807">
        <f>IF(M$42&lt;=M$22,0,"c080(r310&lt;=r120)")</f>
        <v>0</v>
      </c>
    </row>
    <row r="78" spans="1:15" ht="34.5" customHeight="1">
      <c r="B78" s="880"/>
      <c r="C78" s="880"/>
      <c r="D78" s="880"/>
      <c r="E78" s="1624">
        <f>IF(E$22&gt;=SUM(E$38:E$39),0,"r120,c10&gt;= sum(r270-280)c10")</f>
        <v>0</v>
      </c>
      <c r="F78" s="1624">
        <f>IF(F$22&gt;=SUM(F$38:F$39),0,"r120,c20&gt;= sum(r270-280)c20")</f>
        <v>0</v>
      </c>
      <c r="G78" s="1624">
        <f>IF(G$22&gt;=SUM(G$38:G$39),0,"r120,c30&gt;= sum(r270-280)c30")</f>
        <v>0</v>
      </c>
      <c r="H78" s="1624">
        <f>IF(H$22&gt;=SUM(H$38:H$39),0,"r120,c40&gt;= sum(r270-280)c40")</f>
        <v>0</v>
      </c>
      <c r="I78" s="1624">
        <f>IF(I$22&gt;=SUM(I$38:I$39),0,"r120,c50&gt;= sum(r270-280)c50")</f>
        <v>0</v>
      </c>
      <c r="J78" s="1624">
        <f>IF(J$22&gt;=SUM(J$38:J$39),0,"r120,c60&gt;= sum(r270-280)c60")</f>
        <v>0</v>
      </c>
      <c r="K78" s="1624">
        <f>IF(K$22&gt;=SUM(K$38:K$39),0,"r120,c70&gt;= sum(r270-280)c70")</f>
        <v>0</v>
      </c>
      <c r="L78" s="1624">
        <f>IF(L$22&gt;=SUM(L$38:L$39),0,"r120,c80&gt;= sum(r270-280)c80")</f>
        <v>0</v>
      </c>
      <c r="M78" s="1624">
        <f>IF(M$22&gt;=SUM(M$38:M$39),0,"r120,c90&gt;= sum(r270-280)c90")</f>
        <v>0</v>
      </c>
    </row>
    <row r="79" spans="1:15" ht="32.25" customHeight="1">
      <c r="B79" s="880"/>
      <c r="C79" s="880"/>
      <c r="D79" s="1800"/>
      <c r="E79" s="1624">
        <f>IF(E$22&gt;=SUM(E$40:E$41),0,"r120,c10&gt;= sum(r290-300)c10")</f>
        <v>0</v>
      </c>
      <c r="F79" s="1624">
        <f>IF(F$22&gt;=SUM(F$40:F$41),0,"r120,c20&gt;= sum(r290-300)c20")</f>
        <v>0</v>
      </c>
      <c r="G79" s="1624">
        <f>IF(G$22&gt;=SUM(G$40:G$41),0,"r120,c30&gt;= sum(r290-300)c30")</f>
        <v>0</v>
      </c>
      <c r="H79" s="1624">
        <f>IF(H$22&gt;=SUM(H$40:H$41),0,"r120,c40&gt;= sum(r290-300)c40")</f>
        <v>0</v>
      </c>
      <c r="I79" s="1624">
        <f>IF(I$22&gt;=SUM(I$40:I$41),0,"r120,c50&gt;= sum(r290-300)c50")</f>
        <v>0</v>
      </c>
      <c r="J79" s="1624">
        <f>IF(J$22&gt;=SUM(J$40:J$41),0,"r120,c60&gt;= sum(r290-300)c60")</f>
        <v>0</v>
      </c>
      <c r="K79" s="1624">
        <f>IF(K$22&gt;=SUM(K$40:K$41),0,"r120,c70&gt;= sum(r290-300)c70")</f>
        <v>0</v>
      </c>
      <c r="L79" s="1624">
        <f>IF(L$22&gt;=SUM(L$40:L$41),0,"r120,c80&gt;= sum(r290-300)c80")</f>
        <v>0</v>
      </c>
      <c r="M79" s="1624">
        <f>IF(M$22&gt;=SUM(M$40:M$41),0,"r120,c90&gt;= sum(r290-300)c90")</f>
        <v>0</v>
      </c>
    </row>
    <row r="80" spans="1:15">
      <c r="B80" s="880"/>
      <c r="C80" s="880"/>
      <c r="D80" s="880"/>
      <c r="E80" s="881"/>
      <c r="F80" s="820"/>
      <c r="G80" s="820"/>
      <c r="H80" s="820"/>
      <c r="I80" s="820"/>
      <c r="J80" s="820"/>
      <c r="L80" s="820"/>
      <c r="M80" s="820"/>
      <c r="N80" s="820"/>
      <c r="O80" s="820"/>
    </row>
    <row r="81" spans="5:15">
      <c r="E81" s="660"/>
      <c r="F81" s="660"/>
      <c r="G81" s="660"/>
      <c r="H81" s="660"/>
      <c r="I81" s="660"/>
      <c r="J81" s="660"/>
      <c r="K81" s="660"/>
      <c r="L81" s="660"/>
      <c r="M81" s="660"/>
      <c r="N81" s="660"/>
      <c r="O81" s="660"/>
    </row>
    <row r="82" spans="5:15" ht="12.75" customHeight="1">
      <c r="E82" s="660"/>
      <c r="F82" s="660"/>
      <c r="G82" s="660"/>
      <c r="H82" s="660"/>
      <c r="M82" s="660"/>
      <c r="N82" s="660"/>
      <c r="O82" s="660"/>
    </row>
  </sheetData>
  <sheetProtection password="C2F4" sheet="1" objects="1" scenarios="1"/>
  <mergeCells count="8">
    <mergeCell ref="B11:C15"/>
    <mergeCell ref="D11:D15"/>
    <mergeCell ref="G73:J73"/>
    <mergeCell ref="E11:M11"/>
    <mergeCell ref="E12:G12"/>
    <mergeCell ref="H12:J12"/>
    <mergeCell ref="K12:M12"/>
    <mergeCell ref="E14:M14"/>
  </mergeCells>
  <dataValidations disablePrompts="1" count="3">
    <dataValidation type="whole" allowBlank="1" showInputMessage="1" showErrorMessage="1" error="wrong number format or sign" sqref="K29:K42 L31:M42 K22 E16:J42 K23:M28 K16 K17:M21">
      <formula1>0</formula1>
      <formula2>99999999</formula2>
    </dataValidation>
    <dataValidation type="whole" allowBlank="1" showInputMessage="1" showErrorMessage="1" error="wrong number format or sign" sqref="L16:M16 L22:M22 L29:M30">
      <formula1>-99999999</formula1>
      <formula2>0</formula2>
    </dataValidation>
    <dataValidation type="whole" allowBlank="1" showErrorMessage="1" error="Wrong number format or sign" sqref="E44">
      <formula1>0</formula1>
      <formula2>99999999</formula2>
    </dataValidation>
  </dataValidations>
  <printOptions horizontalCentered="1" headings="1" gridLines="1"/>
  <pageMargins left="0.19685039370078741" right="0.23622047244094491" top="0.23622047244094491" bottom="0.23622047244094491" header="0.15748031496062992" footer="0.15748031496062992"/>
  <pageSetup paperSize="9" scale="47" fitToHeight="2" orientation="landscape" cellComments="asDisplayed" r:id="rId1"/>
  <headerFooter scaleWithDoc="0" alignWithMargins="0"/>
  <ignoredErrors>
    <ignoredError sqref="E15:M15 B30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Q136"/>
  <sheetViews>
    <sheetView topLeftCell="B6" zoomScaleNormal="100" zoomScaleSheetLayoutView="100" workbookViewId="0">
      <selection activeCell="B6" sqref="B6"/>
    </sheetView>
  </sheetViews>
  <sheetFormatPr defaultColWidth="9.140625" defaultRowHeight="12.75"/>
  <cols>
    <col min="1" max="1" width="13.5703125" style="1156" hidden="1" customWidth="1"/>
    <col min="2" max="2" width="4" style="30" bestFit="1" customWidth="1"/>
    <col min="3" max="3" width="31.42578125" style="30" customWidth="1"/>
    <col min="4" max="4" width="26.42578125" style="30" customWidth="1"/>
    <col min="5" max="10" width="14.28515625" style="30" customWidth="1"/>
    <col min="11" max="11" width="13.140625" style="30" customWidth="1"/>
    <col min="12" max="12" width="13" style="30" customWidth="1"/>
    <col min="13" max="13" width="12" style="30" customWidth="1"/>
    <col min="14" max="14" width="23.5703125" style="30" customWidth="1"/>
    <col min="15" max="15" width="21.7109375" style="30" customWidth="1"/>
    <col min="16" max="16" width="26.28515625" style="30" customWidth="1"/>
    <col min="17" max="17" width="22.28515625" style="30" customWidth="1"/>
    <col min="18" max="16384" width="9.140625" style="30"/>
  </cols>
  <sheetData>
    <row r="1" spans="1:17" s="1097" customFormat="1" ht="18" hidden="1" customHeight="1">
      <c r="A1" s="1096" t="s">
        <v>1238</v>
      </c>
      <c r="B1" s="1118">
        <v>2</v>
      </c>
      <c r="C1" s="1118">
        <v>1</v>
      </c>
      <c r="D1" s="1119">
        <v>15</v>
      </c>
      <c r="E1" s="1182">
        <v>5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17" s="1097" customFormat="1" ht="18" hidden="1" customHeight="1">
      <c r="A2" s="1096" t="str">
        <f>Index!$A$2</f>
        <v>V20181222</v>
      </c>
      <c r="B2" s="1098"/>
      <c r="C2" s="1099"/>
      <c r="D2" s="1100"/>
      <c r="E2" s="1100" t="str">
        <f t="shared" ref="E2:I2" si="0">$A$1&amp;"_"&amp;E14</f>
        <v>F-08.01_010</v>
      </c>
      <c r="F2" s="1100" t="str">
        <f t="shared" si="0"/>
        <v>F-08.01_020</v>
      </c>
      <c r="G2" s="1100" t="str">
        <f t="shared" si="0"/>
        <v>F-08.01_030</v>
      </c>
      <c r="H2" s="1100" t="str">
        <f t="shared" si="0"/>
        <v>F-08.01_037</v>
      </c>
      <c r="I2" s="1100" t="str">
        <f t="shared" si="0"/>
        <v>F-08.01_040</v>
      </c>
      <c r="J2" s="1116"/>
      <c r="K2" s="1100"/>
      <c r="L2" s="1100"/>
      <c r="M2" s="1100"/>
      <c r="N2" s="1101"/>
    </row>
    <row r="3" spans="1:17" s="1097" customFormat="1" ht="18" hidden="1" customHeight="1">
      <c r="A3" s="1096" t="str">
        <f>"R:A1:P"&amp;ROW(A81)+1</f>
        <v>R:A1:P82</v>
      </c>
      <c r="B3" s="1102"/>
      <c r="C3" s="1103"/>
      <c r="D3" s="1104"/>
      <c r="E3" s="1105"/>
      <c r="F3" s="1106"/>
      <c r="G3" s="1107"/>
      <c r="H3" s="1107"/>
      <c r="I3" s="1107"/>
      <c r="J3" s="1116"/>
      <c r="K3" s="1107"/>
    </row>
    <row r="4" spans="1:17" s="1097" customFormat="1" ht="18" hidden="1" customHeight="1">
      <c r="A4" s="1096"/>
      <c r="B4" s="1102"/>
      <c r="C4" s="1103"/>
      <c r="D4" s="1108"/>
      <c r="E4" s="1109"/>
      <c r="F4" s="1110"/>
      <c r="G4" s="1111">
        <f>N5</f>
        <v>0</v>
      </c>
      <c r="H4" s="1107"/>
      <c r="I4" s="1107"/>
      <c r="J4" s="1116"/>
      <c r="K4" s="1107"/>
    </row>
    <row r="5" spans="1:17" s="1097" customFormat="1" ht="18" hidden="1" customHeight="1">
      <c r="A5" s="1096"/>
      <c r="B5" s="1102"/>
      <c r="C5" s="1103"/>
      <c r="D5" s="1112"/>
      <c r="E5" s="1113"/>
      <c r="F5" s="1114"/>
      <c r="J5" s="1116"/>
      <c r="N5" s="1097">
        <f>COUNTIF(K15:Q63,"&lt;&gt;0")-COUNTBLANK(K15:Q63)+COUNTIF(E64:J65,"&lt;&gt;0")-COUNTBLANK(E64:J65)</f>
        <v>0</v>
      </c>
    </row>
    <row r="6" spans="1:17" s="1116" customFormat="1">
      <c r="A6" s="1100" t="s">
        <v>718</v>
      </c>
      <c r="B6" s="1115"/>
    </row>
    <row r="7" spans="1:17">
      <c r="A7" s="1100" t="s">
        <v>718</v>
      </c>
      <c r="B7" s="269" t="s">
        <v>565</v>
      </c>
      <c r="J7" s="1116"/>
    </row>
    <row r="8" spans="1:17">
      <c r="A8" s="1100" t="s">
        <v>718</v>
      </c>
      <c r="B8" s="269"/>
      <c r="J8" s="1116"/>
    </row>
    <row r="9" spans="1:17">
      <c r="A9" s="1100" t="s">
        <v>718</v>
      </c>
      <c r="B9" s="1" t="s">
        <v>673</v>
      </c>
      <c r="D9" s="599"/>
      <c r="J9" s="1116"/>
    </row>
    <row r="10" spans="1:17">
      <c r="A10" s="1100" t="s">
        <v>718</v>
      </c>
      <c r="J10" s="1116"/>
    </row>
    <row r="11" spans="1:17" ht="62.25" customHeight="1">
      <c r="A11" s="1100" t="s">
        <v>718</v>
      </c>
      <c r="B11" s="387"/>
      <c r="C11" s="442"/>
      <c r="D11" s="396"/>
      <c r="E11" s="2022" t="s">
        <v>1559</v>
      </c>
      <c r="F11" s="2035"/>
      <c r="G11" s="2035"/>
      <c r="H11" s="2036"/>
      <c r="I11" s="2030" t="s">
        <v>117</v>
      </c>
      <c r="J11" s="1116"/>
    </row>
    <row r="12" spans="1:17" ht="42">
      <c r="A12" s="1100" t="s">
        <v>718</v>
      </c>
      <c r="B12" s="389"/>
      <c r="C12" s="443"/>
      <c r="D12" s="445"/>
      <c r="E12" s="1482" t="s">
        <v>118</v>
      </c>
      <c r="F12" s="1482" t="s">
        <v>119</v>
      </c>
      <c r="G12" s="1482" t="s">
        <v>120</v>
      </c>
      <c r="H12" s="397" t="s">
        <v>501</v>
      </c>
      <c r="I12" s="2031"/>
      <c r="J12" s="1116"/>
    </row>
    <row r="13" spans="1:17" s="67" customFormat="1" ht="63">
      <c r="A13" s="1100" t="s">
        <v>718</v>
      </c>
      <c r="B13" s="451"/>
      <c r="C13" s="444"/>
      <c r="D13" s="398" t="s">
        <v>551</v>
      </c>
      <c r="E13" s="399" t="s">
        <v>1958</v>
      </c>
      <c r="F13" s="399" t="s">
        <v>1956</v>
      </c>
      <c r="G13" s="399" t="s">
        <v>1567</v>
      </c>
      <c r="H13" s="399" t="s">
        <v>1959</v>
      </c>
      <c r="I13" s="399" t="s">
        <v>1960</v>
      </c>
      <c r="J13" s="1116"/>
    </row>
    <row r="14" spans="1:17" s="67" customFormat="1" ht="17.45" customHeight="1">
      <c r="A14" s="1100" t="s">
        <v>718</v>
      </c>
      <c r="B14" s="452"/>
      <c r="C14" s="446"/>
      <c r="D14" s="359"/>
      <c r="E14" s="453" t="s">
        <v>292</v>
      </c>
      <c r="F14" s="453" t="s">
        <v>293</v>
      </c>
      <c r="G14" s="453" t="s">
        <v>294</v>
      </c>
      <c r="H14" s="453" t="s">
        <v>500</v>
      </c>
      <c r="I14" s="453" t="s">
        <v>295</v>
      </c>
      <c r="J14" s="1116"/>
      <c r="K14" s="30"/>
    </row>
    <row r="15" spans="1:17">
      <c r="A15" s="1156" t="str">
        <f t="shared" ref="A15:A45" si="1">$A$1&amp;"_"&amp;B15</f>
        <v>F-08.01_010</v>
      </c>
      <c r="B15" s="386" t="s">
        <v>292</v>
      </c>
      <c r="C15" s="178" t="s">
        <v>121</v>
      </c>
      <c r="D15" s="55" t="s">
        <v>1826</v>
      </c>
      <c r="E15" s="706">
        <f>'10'!$F$43</f>
        <v>0</v>
      </c>
      <c r="F15" s="1074"/>
      <c r="G15" s="1074"/>
      <c r="H15" s="909"/>
      <c r="I15" s="1076"/>
      <c r="J15" s="1116"/>
      <c r="K15" s="822">
        <f>IF($E$15&gt;=0,0,"f8.1.a,c10&gt;=0")</f>
        <v>0</v>
      </c>
      <c r="N15" s="1476">
        <f>IF('20'!$G$8="N",0,IF($E15='20'!E61+'20'!F61,0,"{F 08.01.a, r010, c010} = +{F 20.02, r020, c010} + {F 20.02, r020, c020}"))</f>
        <v>0</v>
      </c>
      <c r="Q15" s="1476">
        <f>IF('20'!$G$8="N",0,IF(H15='20'!E74+'20'!F74,0,"{F 08.01.a, r010, c037} = +{F 20.02, r150, c010} + {F 20.02, r150, c020}"))</f>
        <v>0</v>
      </c>
    </row>
    <row r="16" spans="1:17" ht="15" customHeight="1">
      <c r="A16" s="1156" t="str">
        <f t="shared" si="1"/>
        <v>F-08.01_020</v>
      </c>
      <c r="B16" s="363" t="s">
        <v>293</v>
      </c>
      <c r="C16" s="179" t="s">
        <v>122</v>
      </c>
      <c r="D16" s="44" t="s">
        <v>1961</v>
      </c>
      <c r="E16" s="707">
        <f>$E$17+$E$18</f>
        <v>0</v>
      </c>
      <c r="F16" s="1076"/>
      <c r="G16" s="1076"/>
      <c r="H16" s="1076"/>
      <c r="I16" s="1076"/>
      <c r="J16" s="1116"/>
      <c r="K16" s="822">
        <f>IF($E$16&gt;=0,0,"f8.1.a,c10&gt;=0")</f>
        <v>0</v>
      </c>
      <c r="N16" s="1476">
        <f>IF('20'!$G$8="N",0,IF($E16='20'!E62+'20'!F62,0,"{F 08.01.a, r020, c010} = +{F 20.02, r030, c010} + {F 20.02, r030, c020}"))</f>
        <v>0</v>
      </c>
    </row>
    <row r="17" spans="1:16">
      <c r="A17" s="1156" t="str">
        <f t="shared" si="1"/>
        <v>F-08.01_030</v>
      </c>
      <c r="B17" s="363" t="s">
        <v>294</v>
      </c>
      <c r="C17" s="47" t="s">
        <v>59</v>
      </c>
      <c r="D17" s="14" t="s">
        <v>60</v>
      </c>
      <c r="E17" s="911"/>
      <c r="F17" s="1076"/>
      <c r="G17" s="1076"/>
      <c r="H17" s="1076"/>
      <c r="I17" s="1076"/>
      <c r="J17" s="1116"/>
      <c r="K17" s="822">
        <f>IF($E$17&gt;=0,0,"f8.1.a,c10&gt;=0")</f>
        <v>0</v>
      </c>
      <c r="N17" s="1834"/>
    </row>
    <row r="18" spans="1:16">
      <c r="A18" s="1156" t="str">
        <f t="shared" si="1"/>
        <v>F-08.01_040</v>
      </c>
      <c r="B18" s="363" t="s">
        <v>295</v>
      </c>
      <c r="C18" s="47" t="s">
        <v>55</v>
      </c>
      <c r="D18" s="14" t="s">
        <v>595</v>
      </c>
      <c r="E18" s="911"/>
      <c r="F18" s="1076"/>
      <c r="G18" s="1076"/>
      <c r="H18" s="1076"/>
      <c r="I18" s="1076"/>
      <c r="J18" s="1116"/>
      <c r="K18" s="822">
        <f>IF($E$18&gt;=0,0,"f8.1.a,c10&gt;=0")</f>
        <v>0</v>
      </c>
      <c r="N18" s="1834"/>
    </row>
    <row r="19" spans="1:16" ht="21">
      <c r="A19" s="1156" t="str">
        <f t="shared" si="1"/>
        <v>F-08.01_050</v>
      </c>
      <c r="B19" s="368" t="s">
        <v>296</v>
      </c>
      <c r="C19" s="179" t="s">
        <v>15</v>
      </c>
      <c r="D19" s="44" t="s">
        <v>1762</v>
      </c>
      <c r="E19" s="1078">
        <f>$E$20+$E$25+$E$30+$E$35+$E$40+$E$45</f>
        <v>0</v>
      </c>
      <c r="F19" s="1078">
        <f>$F$20+$F$25+$F$30+$F$35+$F$40+$F$45</f>
        <v>0</v>
      </c>
      <c r="G19" s="1078">
        <f>$G$20+$G$25+$G$30+$G$35+$G$40+$G$45</f>
        <v>0</v>
      </c>
      <c r="H19" s="1076"/>
      <c r="I19" s="1075"/>
      <c r="J19" s="1116"/>
      <c r="K19" s="822">
        <f>IF($E$19&gt;=0,0,"f8.1.a,c10&gt;=0")</f>
        <v>0</v>
      </c>
      <c r="L19" s="822">
        <f>IF($F$19&gt;=0,0,"f8.1,c20&gt;=0")</f>
        <v>0</v>
      </c>
      <c r="M19" s="822">
        <f>IF($G$19&gt;=0,0,"f8.1,c30&gt;=0")</f>
        <v>0</v>
      </c>
      <c r="N19" s="1765">
        <f>IF('20'!$G$8="N",0,IF($E19='20'!$E63+'20'!$F63,0,"{F 08.01.a, r050, c010} = +{F 20.02, r040, c010} + {F 20.02, r040, c020}"))</f>
        <v>0</v>
      </c>
      <c r="O19" s="1765">
        <f>IF('20'!$G$8="N",0,IF($F19='20'!$E67+'20'!$F67,0,"{F 08.01.a, r050, c020} = +{F 20.02, r080, c010} + {F 20.02, r080, c020}"))</f>
        <v>0</v>
      </c>
      <c r="P19" s="1765">
        <f>IF('20'!$G$8="N",0,IF($G19='20'!$E71+'20'!$F71,0,"{F 08.01.a, r050, c030} = +{F 20.02, r120, c010} + {F 20.02, r120, c020}"))</f>
        <v>0</v>
      </c>
    </row>
    <row r="20" spans="1:16">
      <c r="A20" s="1156" t="str">
        <f t="shared" si="1"/>
        <v>F-08.01_060</v>
      </c>
      <c r="B20" s="368" t="s">
        <v>297</v>
      </c>
      <c r="C20" s="165" t="s">
        <v>99</v>
      </c>
      <c r="D20" s="44" t="s">
        <v>1962</v>
      </c>
      <c r="E20" s="1079">
        <f>$E$21+$E$23+$E$22+$E$24</f>
        <v>0</v>
      </c>
      <c r="F20" s="1079">
        <f>$F$21+$F$23+$F$22+$F$24</f>
        <v>0</v>
      </c>
      <c r="G20" s="1079">
        <f>$G$21+$G$23+$G$22+$G$24</f>
        <v>0</v>
      </c>
      <c r="H20" s="1076"/>
      <c r="I20" s="1076"/>
      <c r="J20" s="1116"/>
      <c r="K20" s="822">
        <f>IF($E$20&gt;=0,0,"f8.1.a,c10&gt;=0")</f>
        <v>0</v>
      </c>
      <c r="L20" s="822">
        <f>IF($F$20&gt;=0,0,"f8.1,c20&gt;=0")</f>
        <v>0</v>
      </c>
      <c r="M20" s="822">
        <f>IF($G$20&gt;=0,0,"f8.1,c30&gt;=0")</f>
        <v>0</v>
      </c>
    </row>
    <row r="21" spans="1:16" ht="21">
      <c r="A21" s="1156" t="str">
        <f t="shared" si="1"/>
        <v>F-08.01_070</v>
      </c>
      <c r="B21" s="368" t="s">
        <v>298</v>
      </c>
      <c r="C21" s="195" t="s">
        <v>123</v>
      </c>
      <c r="D21" s="15" t="s">
        <v>1553</v>
      </c>
      <c r="E21" s="911"/>
      <c r="F21" s="911"/>
      <c r="G21" s="911"/>
      <c r="H21" s="1076"/>
      <c r="I21" s="1076"/>
      <c r="J21" s="1116"/>
      <c r="K21" s="822">
        <f>IF($E$21&gt;=0,0,"f8.1.a,c10&gt;=0")</f>
        <v>0</v>
      </c>
      <c r="L21" s="822">
        <f>IF($F$21&gt;=0,0,"f8.1,c20&gt;=0")</f>
        <v>0</v>
      </c>
      <c r="M21" s="822">
        <f>IF($G$21&gt;=0,0,"f8.1,c30&gt;=0")</f>
        <v>0</v>
      </c>
    </row>
    <row r="22" spans="1:16" ht="21">
      <c r="A22" s="1156" t="str">
        <f t="shared" si="1"/>
        <v>F-08.01_080</v>
      </c>
      <c r="B22" s="368" t="s">
        <v>299</v>
      </c>
      <c r="C22" s="195" t="s">
        <v>124</v>
      </c>
      <c r="D22" s="15" t="s">
        <v>1554</v>
      </c>
      <c r="E22" s="911"/>
      <c r="F22" s="911"/>
      <c r="G22" s="911"/>
      <c r="H22" s="1076"/>
      <c r="I22" s="1076"/>
      <c r="J22" s="1116"/>
      <c r="K22" s="822">
        <f>IF($E$22&gt;=0,0,"f8.1.a,c10&gt;=0")</f>
        <v>0</v>
      </c>
      <c r="L22" s="822">
        <f>IF($F$22&gt;=0,0,"f8.1,c20&gt;=0")</f>
        <v>0</v>
      </c>
      <c r="M22" s="822">
        <f>IF($G$22&gt;=0,0,"f8.1,c30&gt;=0")</f>
        <v>0</v>
      </c>
    </row>
    <row r="23" spans="1:16" ht="21">
      <c r="A23" s="1156" t="str">
        <f t="shared" si="1"/>
        <v>F-08.01_090</v>
      </c>
      <c r="B23" s="368" t="s">
        <v>300</v>
      </c>
      <c r="C23" s="195" t="s">
        <v>125</v>
      </c>
      <c r="D23" s="82" t="s">
        <v>1963</v>
      </c>
      <c r="E23" s="911"/>
      <c r="F23" s="911"/>
      <c r="G23" s="911"/>
      <c r="H23" s="1076"/>
      <c r="I23" s="1076"/>
      <c r="J23" s="1116"/>
      <c r="K23" s="822">
        <f>IF($E$23&gt;=0,0,"f8.1.a,c10&gt;=0")</f>
        <v>0</v>
      </c>
      <c r="L23" s="822">
        <f>IF($F$23&gt;=0,0,"f8.1,c20&gt;=0")</f>
        <v>0</v>
      </c>
      <c r="M23" s="822">
        <f>IF($G$23&gt;=0,0,"f8.1,c30&gt;=0")</f>
        <v>0</v>
      </c>
    </row>
    <row r="24" spans="1:16" ht="21">
      <c r="A24" s="1156" t="str">
        <f t="shared" si="1"/>
        <v>F-08.01_100</v>
      </c>
      <c r="B24" s="363">
        <v>100</v>
      </c>
      <c r="C24" s="195" t="s">
        <v>126</v>
      </c>
      <c r="D24" s="15" t="s">
        <v>1555</v>
      </c>
      <c r="E24" s="911"/>
      <c r="F24" s="911"/>
      <c r="G24" s="911"/>
      <c r="H24" s="1076"/>
      <c r="I24" s="1076"/>
      <c r="J24" s="1116"/>
      <c r="K24" s="822">
        <f>IF($E$24&gt;=0,0,"f8.1.a,c10&gt;=0")</f>
        <v>0</v>
      </c>
      <c r="L24" s="822">
        <f>IF($F$24&gt;=0,0,"f8.1,c20&gt;=0")</f>
        <v>0</v>
      </c>
      <c r="M24" s="822">
        <f>IF($G$24&gt;=0,0,"f8.1,c30&gt;=0")</f>
        <v>0</v>
      </c>
    </row>
    <row r="25" spans="1:16">
      <c r="A25" s="1156" t="str">
        <f t="shared" si="1"/>
        <v>F-08.01_110</v>
      </c>
      <c r="B25" s="363">
        <v>110</v>
      </c>
      <c r="C25" s="165" t="s">
        <v>100</v>
      </c>
      <c r="D25" s="44" t="s">
        <v>1964</v>
      </c>
      <c r="E25" s="1079">
        <f>SUM($E$26:$E$29)</f>
        <v>0</v>
      </c>
      <c r="F25" s="1079">
        <f>SUM($F$26:$F$29)</f>
        <v>0</v>
      </c>
      <c r="G25" s="1079">
        <f>SUM($G$26:$G$29)</f>
        <v>0</v>
      </c>
      <c r="H25" s="1076"/>
      <c r="I25" s="1076"/>
      <c r="J25" s="1116"/>
      <c r="K25" s="822">
        <f>IF($E$25&gt;=0,0,"f8.1.a,c10&gt;=0")</f>
        <v>0</v>
      </c>
      <c r="L25" s="822">
        <f>IF($F$25&gt;=0,0,"f8.1,c20&gt;=0")</f>
        <v>0</v>
      </c>
      <c r="M25" s="822">
        <f>IF($G$25&gt;=0,0,"f8.1,c30&gt;=0")</f>
        <v>0</v>
      </c>
    </row>
    <row r="26" spans="1:16" ht="21">
      <c r="A26" s="1156" t="str">
        <f t="shared" si="1"/>
        <v>F-08.01_120</v>
      </c>
      <c r="B26" s="363">
        <v>120</v>
      </c>
      <c r="C26" s="195" t="s">
        <v>123</v>
      </c>
      <c r="D26" s="15" t="s">
        <v>1553</v>
      </c>
      <c r="E26" s="911"/>
      <c r="F26" s="911"/>
      <c r="G26" s="911"/>
      <c r="H26" s="1076"/>
      <c r="I26" s="1076"/>
      <c r="J26" s="1116"/>
      <c r="K26" s="822">
        <f>IF($E$26&gt;=0,0,"f8.1.a,c10&gt;=0")</f>
        <v>0</v>
      </c>
      <c r="L26" s="822">
        <f>IF($F$26&gt;=0,0,"f8.1,c20&gt;=0")</f>
        <v>0</v>
      </c>
      <c r="M26" s="822">
        <f>IF($G$26&gt;=0,0,"f8.1,c30&gt;=0")</f>
        <v>0</v>
      </c>
    </row>
    <row r="27" spans="1:16" ht="21">
      <c r="A27" s="1156" t="str">
        <f t="shared" si="1"/>
        <v>F-08.01_130</v>
      </c>
      <c r="B27" s="363">
        <v>130</v>
      </c>
      <c r="C27" s="195" t="s">
        <v>124</v>
      </c>
      <c r="D27" s="15" t="s">
        <v>1554</v>
      </c>
      <c r="E27" s="911"/>
      <c r="F27" s="911"/>
      <c r="G27" s="911"/>
      <c r="H27" s="1076"/>
      <c r="I27" s="1076"/>
      <c r="J27" s="1116"/>
      <c r="K27" s="822">
        <f>IF($E$27&gt;=0,0,"f8.1.a,c10&gt;=0")</f>
        <v>0</v>
      </c>
      <c r="L27" s="822">
        <f>IF($F$27&gt;=0,0,"f8.1,c20&gt;=0")</f>
        <v>0</v>
      </c>
      <c r="M27" s="822">
        <f>IF($G$27&gt;=0,0,"f8.1,c30&gt;=0")</f>
        <v>0</v>
      </c>
    </row>
    <row r="28" spans="1:16" ht="21">
      <c r="A28" s="1156" t="str">
        <f t="shared" si="1"/>
        <v>F-08.01_140</v>
      </c>
      <c r="B28" s="363">
        <v>140</v>
      </c>
      <c r="C28" s="195" t="s">
        <v>125</v>
      </c>
      <c r="D28" s="82" t="s">
        <v>1963</v>
      </c>
      <c r="E28" s="911"/>
      <c r="F28" s="911"/>
      <c r="G28" s="911"/>
      <c r="H28" s="1076"/>
      <c r="I28" s="1076"/>
      <c r="J28" s="1116"/>
      <c r="K28" s="822">
        <f>IF($E$28&gt;=0,0,"f8.1.a,c10&gt;=0")</f>
        <v>0</v>
      </c>
      <c r="L28" s="822">
        <f>IF($F$28&gt;=0,0,"f8.1,c20&gt;=0")</f>
        <v>0</v>
      </c>
      <c r="M28" s="822">
        <f>IF($G$28&gt;=0,0,"f8.1,c30&gt;=0")</f>
        <v>0</v>
      </c>
    </row>
    <row r="29" spans="1:16" ht="21">
      <c r="A29" s="1156" t="str">
        <f t="shared" si="1"/>
        <v>F-08.01_150</v>
      </c>
      <c r="B29" s="363">
        <v>150</v>
      </c>
      <c r="C29" s="195" t="s">
        <v>126</v>
      </c>
      <c r="D29" s="15" t="s">
        <v>1555</v>
      </c>
      <c r="E29" s="911"/>
      <c r="F29" s="911"/>
      <c r="G29" s="911"/>
      <c r="H29" s="1076"/>
      <c r="I29" s="1076"/>
      <c r="J29" s="1116"/>
      <c r="K29" s="822">
        <f>IF($E$29&gt;=0,0,"f8.1.a,c10&gt;=0")</f>
        <v>0</v>
      </c>
      <c r="L29" s="822">
        <f>IF($F$29&gt;=0,0,"f8.1,c20&gt;=0")</f>
        <v>0</v>
      </c>
      <c r="M29" s="822">
        <f>IF($G$29&gt;=0,0,"f8.1,c30&gt;=0")</f>
        <v>0</v>
      </c>
    </row>
    <row r="30" spans="1:16">
      <c r="A30" s="1156" t="str">
        <f t="shared" si="1"/>
        <v>F-08.01_160</v>
      </c>
      <c r="B30" s="363">
        <v>160</v>
      </c>
      <c r="C30" s="165" t="s">
        <v>101</v>
      </c>
      <c r="D30" s="44" t="s">
        <v>1965</v>
      </c>
      <c r="E30" s="1079">
        <f>SUM($E$31:$E$34)</f>
        <v>0</v>
      </c>
      <c r="F30" s="1079">
        <f>SUM($F$31:$F$34)</f>
        <v>0</v>
      </c>
      <c r="G30" s="1079">
        <f>SUM($G$31:$G$34)</f>
        <v>0</v>
      </c>
      <c r="H30" s="1076"/>
      <c r="I30" s="1076"/>
      <c r="J30" s="1116"/>
      <c r="K30" s="822">
        <f>IF($E$30&gt;=0,0,"f8.1.a,c10&gt;=0")</f>
        <v>0</v>
      </c>
      <c r="L30" s="822">
        <f>IF($F$30&gt;=0,0,"f8.1,c20&gt;=0")</f>
        <v>0</v>
      </c>
      <c r="M30" s="822">
        <f>IF($G$30&gt;=0,0,"f8.1,c30&gt;=0")</f>
        <v>0</v>
      </c>
    </row>
    <row r="31" spans="1:16" ht="21">
      <c r="A31" s="1156" t="str">
        <f t="shared" si="1"/>
        <v>F-08.01_170</v>
      </c>
      <c r="B31" s="363">
        <v>170</v>
      </c>
      <c r="C31" s="195" t="s">
        <v>123</v>
      </c>
      <c r="D31" s="15" t="s">
        <v>1553</v>
      </c>
      <c r="E31" s="911"/>
      <c r="F31" s="911"/>
      <c r="G31" s="911"/>
      <c r="H31" s="1076"/>
      <c r="I31" s="1076"/>
      <c r="J31" s="1116"/>
      <c r="K31" s="822">
        <f>IF($E$31&gt;=0,0,"f8.1.a,c10&gt;=0")</f>
        <v>0</v>
      </c>
      <c r="L31" s="822">
        <f>IF($F$31&gt;=0,0,"f8.1,c20&gt;=0")</f>
        <v>0</v>
      </c>
      <c r="M31" s="822">
        <f>IF($G$31&gt;=0,0,"f8.1,c30&gt;=0")</f>
        <v>0</v>
      </c>
    </row>
    <row r="32" spans="1:16" ht="21">
      <c r="A32" s="1156" t="str">
        <f t="shared" si="1"/>
        <v>F-08.01_180</v>
      </c>
      <c r="B32" s="363">
        <v>180</v>
      </c>
      <c r="C32" s="195" t="s">
        <v>124</v>
      </c>
      <c r="D32" s="15" t="s">
        <v>1554</v>
      </c>
      <c r="E32" s="911"/>
      <c r="F32" s="911"/>
      <c r="G32" s="911"/>
      <c r="H32" s="1076"/>
      <c r="I32" s="1076"/>
      <c r="J32" s="1116"/>
      <c r="K32" s="822">
        <f>IF($E$32&gt;=0,0,"f8.1.a,c10&gt;=0")</f>
        <v>0</v>
      </c>
      <c r="L32" s="822">
        <f>IF($F$32&gt;=0,0,"f8.1,c20&gt;=0")</f>
        <v>0</v>
      </c>
      <c r="M32" s="822">
        <f>IF($G$32&gt;=0,0,"f8.1,c30&gt;=0")</f>
        <v>0</v>
      </c>
    </row>
    <row r="33" spans="1:13" ht="21">
      <c r="A33" s="1156" t="str">
        <f t="shared" si="1"/>
        <v>F-08.01_190</v>
      </c>
      <c r="B33" s="363">
        <v>190</v>
      </c>
      <c r="C33" s="195" t="s">
        <v>125</v>
      </c>
      <c r="D33" s="82" t="s">
        <v>1963</v>
      </c>
      <c r="E33" s="911"/>
      <c r="F33" s="911"/>
      <c r="G33" s="911"/>
      <c r="H33" s="1076"/>
      <c r="I33" s="1076"/>
      <c r="J33" s="1116"/>
      <c r="K33" s="822">
        <f>IF($E$33&gt;=0,0,"f8.1.a,c10&gt;=0")</f>
        <v>0</v>
      </c>
      <c r="L33" s="822">
        <f>IF($F$33&gt;=0,0,"f8.1,c20&gt;=0")</f>
        <v>0</v>
      </c>
      <c r="M33" s="822">
        <f>IF($G$33&gt;=0,0,"f8.1,c30&gt;=0")</f>
        <v>0</v>
      </c>
    </row>
    <row r="34" spans="1:13" ht="21">
      <c r="A34" s="1156" t="str">
        <f t="shared" si="1"/>
        <v>F-08.01_200</v>
      </c>
      <c r="B34" s="363">
        <v>200</v>
      </c>
      <c r="C34" s="195" t="s">
        <v>126</v>
      </c>
      <c r="D34" s="15" t="s">
        <v>1555</v>
      </c>
      <c r="E34" s="911"/>
      <c r="F34" s="911"/>
      <c r="G34" s="911"/>
      <c r="H34" s="1076"/>
      <c r="I34" s="1076"/>
      <c r="J34" s="1116"/>
      <c r="K34" s="822">
        <f>IF($E$34&gt;=0,0,"f8.1.a,c10&gt;=0")</f>
        <v>0</v>
      </c>
      <c r="L34" s="822">
        <f>IF($F$34&gt;=0,0,"f8.1,c20&gt;=0")</f>
        <v>0</v>
      </c>
      <c r="M34" s="822">
        <f>IF($G$34&gt;=0,0,"f8.1,c30&gt;=0")</f>
        <v>0</v>
      </c>
    </row>
    <row r="35" spans="1:13">
      <c r="A35" s="1156" t="str">
        <f t="shared" si="1"/>
        <v>F-08.01_210</v>
      </c>
      <c r="B35" s="363">
        <v>210</v>
      </c>
      <c r="C35" s="165" t="s">
        <v>102</v>
      </c>
      <c r="D35" s="44" t="s">
        <v>1966</v>
      </c>
      <c r="E35" s="1079">
        <f>SUM($E$36:$E$39)</f>
        <v>0</v>
      </c>
      <c r="F35" s="1079">
        <f>SUM($F$36:$F$39)</f>
        <v>0</v>
      </c>
      <c r="G35" s="1079">
        <f>SUM($G$36:$G$39)</f>
        <v>0</v>
      </c>
      <c r="H35" s="1076"/>
      <c r="I35" s="1076"/>
      <c r="J35" s="1116"/>
      <c r="K35" s="822">
        <f>IF($E$35&gt;=0,0,"f8.1.a,c10&gt;=0")</f>
        <v>0</v>
      </c>
      <c r="L35" s="822">
        <f>IF($F$35&gt;=0,0,"f8.1,c20&gt;=0")</f>
        <v>0</v>
      </c>
      <c r="M35" s="822">
        <f>IF($G$35&gt;=0,0,"f8.1,c30&gt;=0")</f>
        <v>0</v>
      </c>
    </row>
    <row r="36" spans="1:13" ht="21">
      <c r="A36" s="1156" t="str">
        <f t="shared" si="1"/>
        <v>F-08.01_220</v>
      </c>
      <c r="B36" s="363">
        <v>220</v>
      </c>
      <c r="C36" s="195" t="s">
        <v>123</v>
      </c>
      <c r="D36" s="15" t="s">
        <v>1553</v>
      </c>
      <c r="E36" s="911"/>
      <c r="F36" s="911"/>
      <c r="G36" s="911"/>
      <c r="H36" s="1076"/>
      <c r="I36" s="1076"/>
      <c r="J36" s="1116"/>
      <c r="K36" s="822">
        <f>IF($E$36&gt;=0,0,"f8.1.a,c10&gt;=0")</f>
        <v>0</v>
      </c>
      <c r="L36" s="822">
        <f>IF($F$36&gt;=0,0,"f8.1,c20&gt;=0")</f>
        <v>0</v>
      </c>
      <c r="M36" s="822">
        <f>IF($G$36&gt;=0,0,"f8.1,c30&gt;=0")</f>
        <v>0</v>
      </c>
    </row>
    <row r="37" spans="1:13" ht="21">
      <c r="A37" s="1156" t="str">
        <f t="shared" si="1"/>
        <v>F-08.01_230</v>
      </c>
      <c r="B37" s="363">
        <v>230</v>
      </c>
      <c r="C37" s="195" t="s">
        <v>124</v>
      </c>
      <c r="D37" s="15" t="s">
        <v>1554</v>
      </c>
      <c r="E37" s="911"/>
      <c r="F37" s="911"/>
      <c r="G37" s="911"/>
      <c r="H37" s="1076"/>
      <c r="I37" s="1076"/>
      <c r="J37" s="1116"/>
      <c r="K37" s="822">
        <f>IF($E$37&gt;=0,0,"f8.1.a,c10&gt;=0")</f>
        <v>0</v>
      </c>
      <c r="L37" s="822">
        <f>IF($F$37&gt;=0,0,"f8.1,c20&gt;=0")</f>
        <v>0</v>
      </c>
      <c r="M37" s="822">
        <f>IF($G$37&gt;=0,0,"f8.1,c30&gt;=0")</f>
        <v>0</v>
      </c>
    </row>
    <row r="38" spans="1:13" ht="21">
      <c r="A38" s="1156" t="str">
        <f t="shared" si="1"/>
        <v>F-08.01_240</v>
      </c>
      <c r="B38" s="363">
        <v>240</v>
      </c>
      <c r="C38" s="195" t="s">
        <v>125</v>
      </c>
      <c r="D38" s="82" t="s">
        <v>1963</v>
      </c>
      <c r="E38" s="911"/>
      <c r="F38" s="911"/>
      <c r="G38" s="911"/>
      <c r="H38" s="1076"/>
      <c r="I38" s="1076"/>
      <c r="J38" s="1116"/>
      <c r="K38" s="822">
        <f>IF($E$38&gt;=0,0,"f8.1.a,c10&gt;=0")</f>
        <v>0</v>
      </c>
      <c r="L38" s="822">
        <f>IF($F$38&gt;=0,0,"f8.1,c20&gt;=0")</f>
        <v>0</v>
      </c>
      <c r="M38" s="822">
        <f>IF($G$38&gt;=0,0,"f8.1,c30&gt;=0")</f>
        <v>0</v>
      </c>
    </row>
    <row r="39" spans="1:13" ht="21">
      <c r="A39" s="1156" t="str">
        <f t="shared" si="1"/>
        <v>F-08.01_250</v>
      </c>
      <c r="B39" s="363">
        <v>250</v>
      </c>
      <c r="C39" s="195" t="s">
        <v>126</v>
      </c>
      <c r="D39" s="15" t="s">
        <v>1555</v>
      </c>
      <c r="E39" s="911"/>
      <c r="F39" s="911"/>
      <c r="G39" s="911"/>
      <c r="H39" s="1076"/>
      <c r="I39" s="1076"/>
      <c r="J39" s="1116"/>
      <c r="K39" s="822">
        <f>IF($E$39&gt;=0,0,"f8.1.a,c10&gt;=0")</f>
        <v>0</v>
      </c>
      <c r="L39" s="822">
        <f>IF($F$39&gt;=0,0,"f8.1,c20&gt;=0")</f>
        <v>0</v>
      </c>
      <c r="M39" s="822">
        <f>IF($G$39&gt;=0,0,"f8.1,c30&gt;=0")</f>
        <v>0</v>
      </c>
    </row>
    <row r="40" spans="1:13">
      <c r="A40" s="1156" t="str">
        <f t="shared" si="1"/>
        <v>F-08.01_260</v>
      </c>
      <c r="B40" s="363">
        <v>260</v>
      </c>
      <c r="C40" s="165" t="s">
        <v>127</v>
      </c>
      <c r="D40" s="44" t="s">
        <v>1967</v>
      </c>
      <c r="E40" s="1079">
        <f>SUM($E$41:$E$44)</f>
        <v>0</v>
      </c>
      <c r="F40" s="1079">
        <f>SUM($F$41:$F$44)</f>
        <v>0</v>
      </c>
      <c r="G40" s="1079">
        <f>SUM($G$41:$G$44)</f>
        <v>0</v>
      </c>
      <c r="H40" s="1076"/>
      <c r="I40" s="1076"/>
      <c r="J40" s="1116"/>
      <c r="K40" s="822">
        <f>IF($E$40&gt;=0,0,"f8.1.a,c10&gt;=0")</f>
        <v>0</v>
      </c>
      <c r="L40" s="822">
        <f>IF($F$40&gt;=0,0,"f8.1,c20&gt;=0")</f>
        <v>0</v>
      </c>
      <c r="M40" s="822">
        <f>IF($G$40&gt;=0,0,"f8.1,c30&gt;=0")</f>
        <v>0</v>
      </c>
    </row>
    <row r="41" spans="1:13" ht="21">
      <c r="A41" s="1156" t="str">
        <f t="shared" si="1"/>
        <v>F-08.01_270</v>
      </c>
      <c r="B41" s="363">
        <v>270</v>
      </c>
      <c r="C41" s="195" t="s">
        <v>123</v>
      </c>
      <c r="D41" s="15" t="s">
        <v>1553</v>
      </c>
      <c r="E41" s="911"/>
      <c r="F41" s="911"/>
      <c r="G41" s="911"/>
      <c r="H41" s="1076"/>
      <c r="I41" s="1076"/>
      <c r="J41" s="1116"/>
      <c r="K41" s="822">
        <f>IF($E$41&gt;=0,0,"f8.1.a,c10&gt;=0")</f>
        <v>0</v>
      </c>
      <c r="L41" s="822">
        <f>IF($F$41&gt;=0,0,"f8.1,c20&gt;=0")</f>
        <v>0</v>
      </c>
      <c r="M41" s="822">
        <f>IF($G$41&gt;=0,0,"f8.1,c30&gt;=0")</f>
        <v>0</v>
      </c>
    </row>
    <row r="42" spans="1:13" ht="21">
      <c r="A42" s="1156" t="str">
        <f t="shared" si="1"/>
        <v>F-08.01_280</v>
      </c>
      <c r="B42" s="363">
        <v>280</v>
      </c>
      <c r="C42" s="195" t="s">
        <v>124</v>
      </c>
      <c r="D42" s="15" t="s">
        <v>1554</v>
      </c>
      <c r="E42" s="911"/>
      <c r="F42" s="911"/>
      <c r="G42" s="911"/>
      <c r="H42" s="1076"/>
      <c r="I42" s="1076"/>
      <c r="J42" s="1116"/>
      <c r="K42" s="822">
        <f>IF($E$42&gt;=0,0,"f8.1.a,c10&gt;=0")</f>
        <v>0</v>
      </c>
      <c r="L42" s="822">
        <f>IF($F$42&gt;=0,0,"f8.1,c20&gt;=0")</f>
        <v>0</v>
      </c>
      <c r="M42" s="822">
        <f>IF($G$42&gt;=0,0,"f8.1,c30&gt;=0")</f>
        <v>0</v>
      </c>
    </row>
    <row r="43" spans="1:13" ht="21">
      <c r="A43" s="1156" t="str">
        <f t="shared" si="1"/>
        <v>F-08.01_290</v>
      </c>
      <c r="B43" s="364">
        <v>290</v>
      </c>
      <c r="C43" s="195" t="s">
        <v>125</v>
      </c>
      <c r="D43" s="82" t="s">
        <v>1963</v>
      </c>
      <c r="E43" s="911"/>
      <c r="F43" s="911"/>
      <c r="G43" s="911"/>
      <c r="H43" s="1076"/>
      <c r="I43" s="1076"/>
      <c r="J43" s="1116"/>
      <c r="K43" s="822">
        <f>IF($E$43&gt;=0,0,"f8.1.a,c10&gt;=0")</f>
        <v>0</v>
      </c>
      <c r="L43" s="822">
        <f>IF($F$43&gt;=0,0,"f8.1,c20&gt;=0")</f>
        <v>0</v>
      </c>
      <c r="M43" s="822">
        <f>IF($G$43&gt;=0,0,"f8.1,c30&gt;=0")</f>
        <v>0</v>
      </c>
    </row>
    <row r="44" spans="1:13" ht="21">
      <c r="A44" s="1156" t="str">
        <f t="shared" si="1"/>
        <v>F-08.01_300</v>
      </c>
      <c r="B44" s="364">
        <v>300</v>
      </c>
      <c r="C44" s="195" t="s">
        <v>126</v>
      </c>
      <c r="D44" s="15" t="s">
        <v>1555</v>
      </c>
      <c r="E44" s="911"/>
      <c r="F44" s="911"/>
      <c r="G44" s="911"/>
      <c r="H44" s="1076"/>
      <c r="I44" s="1076"/>
      <c r="J44" s="1116"/>
      <c r="K44" s="822">
        <f>IF($E$44&gt;=0,0,"f8.1.a,c10&gt;=0")</f>
        <v>0</v>
      </c>
      <c r="L44" s="822">
        <f>IF($F$44&gt;=0,0,"f8.1,c20&gt;=0")</f>
        <v>0</v>
      </c>
      <c r="M44" s="822">
        <f>IF($G$44&gt;=0,0,"f8.1,c30&gt;=0")</f>
        <v>0</v>
      </c>
    </row>
    <row r="45" spans="1:13">
      <c r="A45" s="1156" t="str">
        <f t="shared" si="1"/>
        <v>F-08.01_310</v>
      </c>
      <c r="B45" s="363">
        <v>310</v>
      </c>
      <c r="C45" s="165" t="s">
        <v>128</v>
      </c>
      <c r="D45" s="44" t="s">
        <v>1968</v>
      </c>
      <c r="E45" s="1079">
        <f>SUM($E$50:$E$53)</f>
        <v>0</v>
      </c>
      <c r="F45" s="1079">
        <f>SUM($F$50:$F$53)</f>
        <v>0</v>
      </c>
      <c r="G45" s="1079">
        <f>SUM($G$50:$G$53)</f>
        <v>0</v>
      </c>
      <c r="H45" s="1076"/>
      <c r="I45" s="1076"/>
      <c r="J45" s="1116"/>
      <c r="K45" s="822">
        <f>IF($E$45&gt;=0,0,"f8.1.a,c10&gt;=0")</f>
        <v>0</v>
      </c>
      <c r="L45" s="822">
        <f>IF($F$45&gt;=0,0,"f8.1,c20&gt;=0")</f>
        <v>0</v>
      </c>
      <c r="M45" s="822">
        <f>IF($G$45&gt;=0,0,"f8.1,c30&gt;=0")</f>
        <v>0</v>
      </c>
    </row>
    <row r="46" spans="1:13" ht="20.25" customHeight="1">
      <c r="A46" s="1100" t="s">
        <v>718</v>
      </c>
      <c r="B46" s="387"/>
      <c r="C46" s="442"/>
      <c r="D46" s="396"/>
      <c r="E46" s="2022" t="s">
        <v>1559</v>
      </c>
      <c r="F46" s="2035"/>
      <c r="G46" s="2035"/>
      <c r="H46" s="2036"/>
      <c r="I46" s="2030" t="s">
        <v>600</v>
      </c>
      <c r="J46" s="1116"/>
      <c r="L46" s="822"/>
      <c r="M46" s="822"/>
    </row>
    <row r="47" spans="1:13" ht="78" customHeight="1">
      <c r="A47" s="1100" t="s">
        <v>718</v>
      </c>
      <c r="B47" s="389"/>
      <c r="C47" s="443"/>
      <c r="D47" s="445"/>
      <c r="E47" s="1482" t="s">
        <v>118</v>
      </c>
      <c r="F47" s="1482" t="s">
        <v>119</v>
      </c>
      <c r="G47" s="1482" t="s">
        <v>120</v>
      </c>
      <c r="H47" s="397" t="s">
        <v>501</v>
      </c>
      <c r="I47" s="2031"/>
      <c r="J47" s="1116"/>
      <c r="L47" s="822"/>
      <c r="M47" s="822"/>
    </row>
    <row r="48" spans="1:13" s="67" customFormat="1" ht="63">
      <c r="A48" s="1100" t="s">
        <v>718</v>
      </c>
      <c r="B48" s="451"/>
      <c r="C48" s="444"/>
      <c r="D48" s="398" t="s">
        <v>551</v>
      </c>
      <c r="E48" s="399" t="s">
        <v>1958</v>
      </c>
      <c r="F48" s="399" t="s">
        <v>1956</v>
      </c>
      <c r="G48" s="399" t="s">
        <v>1567</v>
      </c>
      <c r="H48" s="399" t="s">
        <v>1959</v>
      </c>
      <c r="I48" s="399" t="s">
        <v>1960</v>
      </c>
      <c r="J48" s="1116"/>
      <c r="L48" s="822"/>
      <c r="M48" s="822"/>
    </row>
    <row r="49" spans="1:17" s="67" customFormat="1" ht="17.45" customHeight="1">
      <c r="A49" s="1100" t="s">
        <v>718</v>
      </c>
      <c r="B49" s="452"/>
      <c r="C49" s="446"/>
      <c r="D49" s="359"/>
      <c r="E49" s="453" t="s">
        <v>292</v>
      </c>
      <c r="F49" s="453" t="s">
        <v>293</v>
      </c>
      <c r="G49" s="453" t="s">
        <v>294</v>
      </c>
      <c r="H49" s="453" t="s">
        <v>500</v>
      </c>
      <c r="I49" s="453" t="s">
        <v>295</v>
      </c>
      <c r="J49" s="1116"/>
      <c r="L49" s="822"/>
      <c r="M49" s="822"/>
    </row>
    <row r="50" spans="1:17" ht="21">
      <c r="A50" s="1156" t="str">
        <f t="shared" ref="A50:A63" si="2">$A$1&amp;"_"&amp;B50</f>
        <v>F-08.01_320</v>
      </c>
      <c r="B50" s="363">
        <v>320</v>
      </c>
      <c r="C50" s="195" t="s">
        <v>123</v>
      </c>
      <c r="D50" s="15" t="s">
        <v>1553</v>
      </c>
      <c r="E50" s="911"/>
      <c r="F50" s="911"/>
      <c r="G50" s="911"/>
      <c r="H50" s="1076"/>
      <c r="I50" s="1076"/>
      <c r="J50" s="1116"/>
      <c r="K50" s="822">
        <f>IF($E$50&gt;=0,0,"f8.1.a,c10&gt;=0")</f>
        <v>0</v>
      </c>
      <c r="L50" s="822">
        <f>IF($F$50&gt;=0,0,"f8.1,c20&gt;=0")</f>
        <v>0</v>
      </c>
      <c r="M50" s="822">
        <f>IF($G$50&gt;=0,0,"f8.1,c30&gt;=0")</f>
        <v>0</v>
      </c>
    </row>
    <row r="51" spans="1:17" ht="21">
      <c r="A51" s="1156" t="str">
        <f t="shared" si="2"/>
        <v>F-08.01_330</v>
      </c>
      <c r="B51" s="363">
        <v>330</v>
      </c>
      <c r="C51" s="195" t="s">
        <v>124</v>
      </c>
      <c r="D51" s="15" t="s">
        <v>1554</v>
      </c>
      <c r="E51" s="911"/>
      <c r="F51" s="911"/>
      <c r="G51" s="911"/>
      <c r="H51" s="1076"/>
      <c r="I51" s="1076"/>
      <c r="J51" s="1116"/>
      <c r="K51" s="822">
        <f>IF($E$51&gt;=0,0,"f8.1.a,c10&gt;=0")</f>
        <v>0</v>
      </c>
      <c r="L51" s="822">
        <f>IF($F$51&gt;=0,0,"f8.1,c20&gt;=0")</f>
        <v>0</v>
      </c>
      <c r="M51" s="822">
        <f>IF($G$51&gt;=0,0,"f8.1,c30&gt;=0")</f>
        <v>0</v>
      </c>
    </row>
    <row r="52" spans="1:17" ht="21">
      <c r="A52" s="1156" t="str">
        <f t="shared" si="2"/>
        <v>F-08.01_340</v>
      </c>
      <c r="B52" s="363">
        <v>340</v>
      </c>
      <c r="C52" s="195" t="s">
        <v>125</v>
      </c>
      <c r="D52" s="82" t="s">
        <v>1963</v>
      </c>
      <c r="E52" s="911"/>
      <c r="F52" s="911"/>
      <c r="G52" s="911"/>
      <c r="H52" s="1076"/>
      <c r="I52" s="1076"/>
      <c r="J52" s="1116"/>
      <c r="K52" s="822">
        <f>IF($E$52&gt;=0,0,"f8.1.a,c10&gt;=0")</f>
        <v>0</v>
      </c>
      <c r="L52" s="822">
        <f>IF($F$52&gt;=0,0,"f8.1,c20&gt;=0")</f>
        <v>0</v>
      </c>
      <c r="M52" s="822">
        <f>IF($G$52&gt;=0,0,"f8.1,c30&gt;=0")</f>
        <v>0</v>
      </c>
    </row>
    <row r="53" spans="1:17" ht="21">
      <c r="A53" s="1156" t="str">
        <f t="shared" si="2"/>
        <v>F-08.01_350</v>
      </c>
      <c r="B53" s="363">
        <v>350</v>
      </c>
      <c r="C53" s="195" t="s">
        <v>126</v>
      </c>
      <c r="D53" s="15" t="s">
        <v>1555</v>
      </c>
      <c r="E53" s="911"/>
      <c r="F53" s="911"/>
      <c r="G53" s="911"/>
      <c r="H53" s="1076"/>
      <c r="I53" s="1076"/>
      <c r="J53" s="1116"/>
      <c r="K53" s="822">
        <f>IF($E$53&gt;=0,0,"f8.1.a,c10&gt;=0")</f>
        <v>0</v>
      </c>
      <c r="L53" s="822">
        <f>IF($F$53&gt;=0,0,"f8.1,c20&gt;=0")</f>
        <v>0</v>
      </c>
      <c r="M53" s="822">
        <f>IF($G$53&gt;=0,0,"f8.1,c30&gt;=0")</f>
        <v>0</v>
      </c>
    </row>
    <row r="54" spans="1:17">
      <c r="A54" s="1156" t="str">
        <f t="shared" si="2"/>
        <v>F-08.01_360</v>
      </c>
      <c r="B54" s="363">
        <v>360</v>
      </c>
      <c r="C54" s="7" t="s">
        <v>32</v>
      </c>
      <c r="D54" s="14" t="s">
        <v>1969</v>
      </c>
      <c r="E54" s="1950">
        <f>SUM($E$55:$E$59)</f>
        <v>0</v>
      </c>
      <c r="F54" s="1950">
        <f>SUM($F$55:$F$59)</f>
        <v>0</v>
      </c>
      <c r="G54" s="1950">
        <f>SUM($G$55:$G$59)</f>
        <v>0</v>
      </c>
      <c r="H54" s="1076"/>
      <c r="I54" s="1075"/>
      <c r="J54" s="1116"/>
      <c r="K54" s="822">
        <f>IF($E$54&gt;=0,0,"f8.1.a,c10&gt;=0")</f>
        <v>0</v>
      </c>
      <c r="L54" s="822">
        <f>IF($F$54&gt;=0,0,"f8.1,c20&gt;=0")</f>
        <v>0</v>
      </c>
      <c r="M54" s="822">
        <f>IF($G$54&gt;=0,0,"f8.1,c30&gt;=0")</f>
        <v>0</v>
      </c>
      <c r="N54" s="1765">
        <f>IF('20'!$G$8="N",0,IF($E54='20'!E64+'20'!F64,0,"{F 08.01.a, r360, c010} = +{F 20.02, r050, c010} + {F 20.02, r050, c020}"))</f>
        <v>0</v>
      </c>
      <c r="O54" s="1765">
        <f>IF('20'!$G$8="N",0,IF($F54='20'!E68+'20'!F68,0,"{F 08.01.a, r360, c020} = +{F 20.02, r090, c010} + {F 20.02, r090, c020}"))</f>
        <v>0</v>
      </c>
      <c r="P54" s="1765">
        <f>IF('20'!$G$8="N",0,IF($G54='20'!$E72+'20'!$F72,0,"{F 08.01.a, r360, c030} = +{F 20.02, r130, c010} + {F 20.02, r130, c020}"))</f>
        <v>0</v>
      </c>
    </row>
    <row r="55" spans="1:17">
      <c r="A55" s="1156" t="str">
        <f t="shared" si="2"/>
        <v>F-08.01_370</v>
      </c>
      <c r="B55" s="363">
        <v>370</v>
      </c>
      <c r="C55" s="47" t="s">
        <v>129</v>
      </c>
      <c r="D55" s="44" t="s">
        <v>1970</v>
      </c>
      <c r="E55" s="911"/>
      <c r="F55" s="911"/>
      <c r="G55" s="911"/>
      <c r="H55" s="1076"/>
      <c r="I55" s="1076"/>
      <c r="J55" s="1116"/>
      <c r="K55" s="822">
        <f>IF($E$55&gt;=0,0,"f8.1.a,c10&gt;=0")</f>
        <v>0</v>
      </c>
      <c r="L55" s="822">
        <f>IF($F$55&gt;=0,0,"f8.1,c20&gt;=0")</f>
        <v>0</v>
      </c>
      <c r="M55" s="822">
        <f>IF($G$55&gt;=0,0,"f8.1,c30&gt;=0")</f>
        <v>0</v>
      </c>
      <c r="N55" s="1834"/>
      <c r="O55" s="1834"/>
    </row>
    <row r="56" spans="1:17">
      <c r="A56" s="1156" t="str">
        <f t="shared" si="2"/>
        <v>F-08.01_380</v>
      </c>
      <c r="B56" s="363">
        <v>380</v>
      </c>
      <c r="C56" s="47" t="s">
        <v>163</v>
      </c>
      <c r="D56" s="15" t="s">
        <v>689</v>
      </c>
      <c r="E56" s="911"/>
      <c r="F56" s="911"/>
      <c r="G56" s="911"/>
      <c r="H56" s="1076"/>
      <c r="I56" s="1076"/>
      <c r="J56" s="1116"/>
      <c r="K56" s="822">
        <f>IF($E$56&gt;=0,0,"f8.1.a,c10&gt;=0")</f>
        <v>0</v>
      </c>
      <c r="L56" s="822">
        <f>IF($F$56&gt;=0,0,"f8.1,c20&gt;=0")</f>
        <v>0</v>
      </c>
      <c r="M56" s="822">
        <f>IF($G$56&gt;=0,0,"f8.1,c30&gt;=0")</f>
        <v>0</v>
      </c>
      <c r="N56" s="1834"/>
      <c r="O56" s="1834"/>
    </row>
    <row r="57" spans="1:17">
      <c r="A57" s="1156" t="str">
        <f t="shared" si="2"/>
        <v>F-08.01_390</v>
      </c>
      <c r="B57" s="363">
        <v>390</v>
      </c>
      <c r="C57" s="47" t="s">
        <v>164</v>
      </c>
      <c r="D57" s="15" t="s">
        <v>1971</v>
      </c>
      <c r="E57" s="911"/>
      <c r="F57" s="911"/>
      <c r="G57" s="911"/>
      <c r="H57" s="1076"/>
      <c r="I57" s="1076"/>
      <c r="J57" s="1116"/>
      <c r="K57" s="822">
        <f>IF($E$57&gt;=0,0,"f8.1.a,c10&gt;=0")</f>
        <v>0</v>
      </c>
      <c r="L57" s="822">
        <f>IF($F$57&gt;=0,0,"f8.1,c20&gt;=0")</f>
        <v>0</v>
      </c>
      <c r="M57" s="822">
        <f>IF($G$57&gt;=0,0,"f8.1,c30&gt;=0")</f>
        <v>0</v>
      </c>
      <c r="N57" s="1834"/>
      <c r="O57" s="1834"/>
    </row>
    <row r="58" spans="1:17">
      <c r="A58" s="1156" t="str">
        <f t="shared" si="2"/>
        <v>F-08.01_400</v>
      </c>
      <c r="B58" s="363">
        <v>400</v>
      </c>
      <c r="C58" s="47" t="s">
        <v>165</v>
      </c>
      <c r="D58" s="82" t="s">
        <v>1972</v>
      </c>
      <c r="E58" s="911"/>
      <c r="F58" s="911"/>
      <c r="G58" s="911"/>
      <c r="H58" s="1076"/>
      <c r="I58" s="1076"/>
      <c r="J58" s="1116"/>
      <c r="K58" s="822">
        <f>IF($E$58&gt;=0,0,"f8.1.a,c10&gt;=0")</f>
        <v>0</v>
      </c>
      <c r="L58" s="822">
        <f>IF($F$58&gt;=0,0,"f8.1,c20&gt;=0")</f>
        <v>0</v>
      </c>
      <c r="M58" s="822">
        <f>IF($G$58&gt;=0,0,"f8.1,c30&gt;=0")</f>
        <v>0</v>
      </c>
      <c r="N58" s="1834"/>
      <c r="O58" s="1834"/>
    </row>
    <row r="59" spans="1:17">
      <c r="A59" s="1156" t="str">
        <f t="shared" si="2"/>
        <v>F-08.01_410</v>
      </c>
      <c r="B59" s="363">
        <v>410</v>
      </c>
      <c r="C59" s="47" t="s">
        <v>367</v>
      </c>
      <c r="D59" s="82" t="s">
        <v>1973</v>
      </c>
      <c r="E59" s="707">
        <f>SUM($E$60:$E$61)</f>
        <v>0</v>
      </c>
      <c r="F59" s="707">
        <f>SUM($F$60:$F$61)</f>
        <v>0</v>
      </c>
      <c r="G59" s="707">
        <f>SUM($G$60:$G$61)</f>
        <v>0</v>
      </c>
      <c r="H59" s="1076"/>
      <c r="I59" s="1076"/>
      <c r="J59" s="1116"/>
      <c r="K59" s="822">
        <f>IF($E$59&gt;=0,0,"f8.1.a,c10&gt;=0")</f>
        <v>0</v>
      </c>
      <c r="L59" s="822">
        <f>IF($F$59&gt;=0,0,"f8.1,c20&gt;=0")</f>
        <v>0</v>
      </c>
      <c r="M59" s="822">
        <f>IF($G$59&gt;=0,0,"f8.1,c30&gt;=0")</f>
        <v>0</v>
      </c>
      <c r="N59" s="1834"/>
      <c r="O59" s="1834"/>
    </row>
    <row r="60" spans="1:17" ht="21">
      <c r="A60" s="1156" t="str">
        <f t="shared" si="2"/>
        <v>F-08.01_420</v>
      </c>
      <c r="B60" s="363">
        <v>420</v>
      </c>
      <c r="C60" s="1583" t="s">
        <v>350</v>
      </c>
      <c r="D60" s="15" t="s">
        <v>130</v>
      </c>
      <c r="E60" s="911"/>
      <c r="F60" s="911"/>
      <c r="G60" s="911"/>
      <c r="H60" s="1076"/>
      <c r="I60" s="1076"/>
      <c r="J60" s="1116"/>
      <c r="K60" s="822">
        <f>IF($E$60&gt;=0,0,"f8.1.a,c10&gt;=0")</f>
        <v>0</v>
      </c>
      <c r="L60" s="822">
        <f>IF($F$60&gt;=0,0,"f8.1,c20&gt;=0")</f>
        <v>0</v>
      </c>
      <c r="M60" s="822">
        <f>IF($G$60&gt;=0,0,"f8.1,c30&gt;=0")</f>
        <v>0</v>
      </c>
      <c r="N60" s="1834"/>
      <c r="O60" s="1834"/>
    </row>
    <row r="61" spans="1:17">
      <c r="A61" s="1156" t="str">
        <f t="shared" si="2"/>
        <v>F-08.01_430</v>
      </c>
      <c r="B61" s="363">
        <v>430</v>
      </c>
      <c r="C61" s="1583" t="s">
        <v>131</v>
      </c>
      <c r="D61" s="15"/>
      <c r="E61" s="911"/>
      <c r="F61" s="911"/>
      <c r="G61" s="911"/>
      <c r="H61" s="1076"/>
      <c r="I61" s="1076"/>
      <c r="J61" s="1116"/>
      <c r="K61" s="822">
        <f>IF($E$61&gt;=0,0,"f8.1.a,c10&gt;=0")</f>
        <v>0</v>
      </c>
      <c r="L61" s="822">
        <f>IF($F$61&gt;=0,0,"f8.1,c20&gt;=0")</f>
        <v>0</v>
      </c>
      <c r="M61" s="822">
        <f>IF($G$61&gt;=0,0,"f8.1,c30&gt;=0")</f>
        <v>0</v>
      </c>
      <c r="N61" s="1834"/>
      <c r="O61" s="1834"/>
    </row>
    <row r="62" spans="1:17">
      <c r="A62" s="1156" t="str">
        <f t="shared" si="2"/>
        <v>F-08.01_440</v>
      </c>
      <c r="B62" s="364">
        <v>440</v>
      </c>
      <c r="C62" s="1584" t="s">
        <v>132</v>
      </c>
      <c r="D62" s="14" t="s">
        <v>1570</v>
      </c>
      <c r="E62" s="909"/>
      <c r="F62" s="909"/>
      <c r="G62" s="909"/>
      <c r="H62" s="1080"/>
      <c r="I62" s="1222"/>
      <c r="J62" s="1116"/>
      <c r="K62" s="822">
        <f>IF($E$62&gt;=0,0,"f8.1.a,c10&gt;=0")</f>
        <v>0</v>
      </c>
      <c r="L62" s="822">
        <f>IF($F$62&gt;=0,0,"f8.1,c20&gt;=0")</f>
        <v>0</v>
      </c>
      <c r="M62" s="822">
        <f>IF($G$62&gt;=0,0,"f8.1,c30&gt;=0")</f>
        <v>0</v>
      </c>
      <c r="N62" s="1765">
        <f>IF('20'!$G$8="N",0,IF($E62='20'!E65+'20'!F65,0,"{F 08.01.a, r360, c010} = +{F 20.02, r050, c010} + {F 20.02, r050, c020}"))</f>
        <v>0</v>
      </c>
      <c r="O62" s="1765">
        <f>IF('20'!$G$8="N",0,IF($F62='20'!E69+'20'!F69,0,"{F 08.01.a, r440, c020} = +{F 20.02, r100, c010} + {F 20.02, r100, c020}"))</f>
        <v>0</v>
      </c>
      <c r="P62" s="1765">
        <f>IF('20'!$G$8="N",0,IF($G62='20'!$E73+'20'!$F73,0,"{F 08.01.a, r440, c030} = +{F 20.02, r140, c010} + {F 20.02, r140, c020}"))</f>
        <v>0</v>
      </c>
      <c r="Q62" s="1835"/>
    </row>
    <row r="63" spans="1:17">
      <c r="A63" s="1156" t="str">
        <f t="shared" si="2"/>
        <v>F-08.01_450</v>
      </c>
      <c r="B63" s="376">
        <v>450</v>
      </c>
      <c r="C63" s="177" t="s">
        <v>469</v>
      </c>
      <c r="D63" s="341"/>
      <c r="E63" s="1081">
        <f>SUM($E$15,$E$16,$E$19,$E$54,$E$62)</f>
        <v>0</v>
      </c>
      <c r="F63" s="1081">
        <f>SUM($F$19,$F$54,$F$62)</f>
        <v>0</v>
      </c>
      <c r="G63" s="1081">
        <f>SUM($G$19,$G$54,$G$62)</f>
        <v>0</v>
      </c>
      <c r="H63" s="1081">
        <f>$H$15</f>
        <v>0</v>
      </c>
      <c r="I63" s="1223"/>
      <c r="J63" s="1116"/>
      <c r="K63" s="822">
        <f>IF($E$63&gt;=0,0,"f8.1.a,c10&gt;=0")</f>
        <v>0</v>
      </c>
      <c r="L63" s="822">
        <f>IF($F$63&gt;=0,0,"f8.1,c20&gt;=0")</f>
        <v>0</v>
      </c>
      <c r="M63" s="822">
        <f>IF($G$63&gt;=0,0,"f8.1,c30&gt;=0")</f>
        <v>0</v>
      </c>
      <c r="N63" s="1765">
        <f>IF('20'!$G$8="N",0,IF($E63='20'!E60+'20'!F60,0,"{F 08.01.b, r450, c010} = +{F 20.02, r010, c010} + {F 20.02, r010, c020}"))</f>
        <v>0</v>
      </c>
      <c r="O63" s="1765">
        <f>IF('20'!$G$8="N",0,IF($F63='20'!E66+'20'!F66,0,"{F 08.01.b, r450, c020} = +{F 20.02, r070, c010} + {F 20.02, r070, c020}"))</f>
        <v>0</v>
      </c>
      <c r="P63" s="1765">
        <f>IF('20'!$G$8="N",0,IF($G63='20'!$E70+'20'!$F70,0,"{F 08.01.b, r450, c030} = +{F 20.02, r110, c010} + {F 20.02, r110, c020}"))</f>
        <v>0</v>
      </c>
      <c r="Q63" s="1765">
        <f>IF('20'!$G$8="N",0,IF($H63='20'!$E74+'20'!$F74,0,"{F 08.01.b, r450, c037} = +{F 20.02, r150, c010} + {F 20.02, r150, c020}"))</f>
        <v>0</v>
      </c>
    </row>
    <row r="64" spans="1:17">
      <c r="A64" s="1100" t="s">
        <v>718</v>
      </c>
      <c r="B64"/>
      <c r="C64"/>
      <c r="D64"/>
      <c r="E64" s="1082"/>
      <c r="F64" s="1083"/>
      <c r="G64" s="1082"/>
      <c r="H64" s="822">
        <f>IF($H$63='11'!$F$64,0,"{F 08.01.b, r450, c037}=={F 11.01, r500, c020}")</f>
        <v>0</v>
      </c>
      <c r="J64" s="1116"/>
    </row>
    <row r="65" spans="1:15">
      <c r="A65" s="1156" t="s">
        <v>724</v>
      </c>
      <c r="B65" s="266"/>
      <c r="C65"/>
      <c r="D65" s="319"/>
      <c r="E65" s="318"/>
      <c r="F65" s="70"/>
      <c r="J65" s="822"/>
    </row>
    <row r="66" spans="1:15" s="1097" customFormat="1" ht="18" hidden="1" customHeight="1">
      <c r="A66" s="1096" t="s">
        <v>1239</v>
      </c>
      <c r="B66" s="1118">
        <v>2</v>
      </c>
      <c r="C66" s="1118">
        <v>1</v>
      </c>
      <c r="D66" s="1119">
        <v>13</v>
      </c>
      <c r="E66" s="1182">
        <v>5</v>
      </c>
      <c r="F66" s="1120">
        <v>3</v>
      </c>
      <c r="G66" s="30">
        <v>4</v>
      </c>
      <c r="H66" s="30">
        <v>4</v>
      </c>
      <c r="I66" s="30">
        <v>4</v>
      </c>
      <c r="J66" s="1123">
        <v>4</v>
      </c>
      <c r="K66" s="1123">
        <v>5</v>
      </c>
      <c r="L66" s="1124">
        <v>4</v>
      </c>
      <c r="M66" s="1124">
        <v>6</v>
      </c>
      <c r="N66" s="1125">
        <v>4</v>
      </c>
      <c r="O66" s="1125">
        <v>7</v>
      </c>
    </row>
    <row r="67" spans="1:15" s="1097" customFormat="1" ht="18" hidden="1" customHeight="1">
      <c r="A67" s="1096" t="str">
        <f>Index!$A$2</f>
        <v>V20181222</v>
      </c>
      <c r="B67" s="1098"/>
      <c r="C67" s="1099"/>
      <c r="D67" s="1100"/>
      <c r="E67" s="1100" t="str">
        <f>$A$66&amp;"_"&amp;E77</f>
        <v>F-08.02_010</v>
      </c>
      <c r="F67" s="1100" t="str">
        <f>$A$66&amp;"_"&amp;F77</f>
        <v>F-08.02_020</v>
      </c>
      <c r="G67" s="30"/>
      <c r="H67" s="30"/>
      <c r="I67" s="30"/>
      <c r="J67" s="1100"/>
      <c r="K67" s="1100"/>
      <c r="L67" s="1100"/>
      <c r="M67" s="1100"/>
      <c r="N67" s="1101"/>
    </row>
    <row r="68" spans="1:15" s="1097" customFormat="1" ht="18" hidden="1" customHeight="1">
      <c r="A68" s="1096" t="str">
        <f>"R:A1:P"&amp;ROW(A143)+1</f>
        <v>R:A1:P144</v>
      </c>
      <c r="B68" s="1102"/>
      <c r="C68" s="1103"/>
      <c r="D68" s="1104"/>
      <c r="E68" s="1105"/>
      <c r="F68" s="1106"/>
      <c r="G68" s="30"/>
      <c r="H68" s="30"/>
      <c r="I68" s="30"/>
      <c r="J68" s="1107"/>
      <c r="K68" s="1107"/>
    </row>
    <row r="69" spans="1:15" s="1097" customFormat="1" ht="18" hidden="1" customHeight="1">
      <c r="A69" s="1096"/>
      <c r="B69" s="1102"/>
      <c r="C69" s="1103"/>
      <c r="D69" s="1108"/>
      <c r="E69" s="1109"/>
      <c r="F69" s="1110"/>
      <c r="G69" s="30">
        <f>N70</f>
        <v>0</v>
      </c>
      <c r="H69" s="30"/>
      <c r="I69" s="30"/>
      <c r="J69" s="1107"/>
      <c r="K69" s="1107"/>
    </row>
    <row r="70" spans="1:15" s="1097" customFormat="1" ht="18" hidden="1" customHeight="1">
      <c r="A70" s="1096"/>
      <c r="B70" s="1102"/>
      <c r="C70" s="1103"/>
      <c r="D70" s="1112"/>
      <c r="E70" s="1113"/>
      <c r="F70" s="1114"/>
      <c r="G70" s="30"/>
      <c r="H70" s="30"/>
      <c r="I70" s="30"/>
      <c r="N70" s="1097">
        <f>COUNTIF(G74:N80,"&lt;&gt;0")-COUNTBLANK(G74:N80)</f>
        <v>0</v>
      </c>
    </row>
    <row r="71" spans="1:15" s="1116" customFormat="1">
      <c r="A71" s="1100" t="s">
        <v>718</v>
      </c>
      <c r="B71" s="1115"/>
      <c r="G71" s="30"/>
      <c r="H71" s="30"/>
      <c r="I71" s="30"/>
    </row>
    <row r="72" spans="1:15">
      <c r="A72" s="1100" t="s">
        <v>718</v>
      </c>
      <c r="B72" s="168" t="s">
        <v>566</v>
      </c>
    </row>
    <row r="73" spans="1:15">
      <c r="A73" s="1100" t="s">
        <v>718</v>
      </c>
      <c r="B73" s="168"/>
    </row>
    <row r="74" spans="1:15">
      <c r="A74" s="1100" t="s">
        <v>718</v>
      </c>
      <c r="B74" s="454"/>
      <c r="C74" s="1483"/>
      <c r="D74" s="507"/>
      <c r="E74" s="2033" t="s">
        <v>57</v>
      </c>
      <c r="F74" s="2034"/>
      <c r="G74"/>
    </row>
    <row r="75" spans="1:15" ht="61.5" customHeight="1">
      <c r="A75" s="1100" t="s">
        <v>718</v>
      </c>
      <c r="B75" s="455"/>
      <c r="C75" s="2032"/>
      <c r="D75" s="445"/>
      <c r="E75" s="397" t="s">
        <v>119</v>
      </c>
      <c r="F75" s="397" t="s">
        <v>518</v>
      </c>
      <c r="G75" s="1224"/>
      <c r="H75" s="1225"/>
      <c r="I75" s="1225"/>
      <c r="J75" s="1225"/>
      <c r="K75" s="880"/>
      <c r="L75" s="1225"/>
      <c r="M75" s="1225"/>
    </row>
    <row r="76" spans="1:15" ht="52.5" customHeight="1">
      <c r="A76" s="1100" t="s">
        <v>718</v>
      </c>
      <c r="B76" s="455"/>
      <c r="C76" s="2032"/>
      <c r="D76" s="398" t="s">
        <v>551</v>
      </c>
      <c r="E76" s="399" t="s">
        <v>1956</v>
      </c>
      <c r="F76" s="399" t="s">
        <v>1567</v>
      </c>
      <c r="G76" s="1224"/>
      <c r="H76" s="827"/>
      <c r="I76" s="827"/>
      <c r="J76" s="827"/>
      <c r="K76" s="827"/>
    </row>
    <row r="77" spans="1:15">
      <c r="A77" s="1100" t="s">
        <v>718</v>
      </c>
      <c r="B77" s="456"/>
      <c r="C77" s="457"/>
      <c r="D77" s="395"/>
      <c r="E77" s="418" t="s">
        <v>292</v>
      </c>
      <c r="F77" s="418" t="s">
        <v>293</v>
      </c>
      <c r="G77" s="829"/>
      <c r="H77" s="829"/>
    </row>
    <row r="78" spans="1:15" ht="21">
      <c r="A78" s="1156" t="str">
        <f>$A$66&amp;"_"&amp;B78</f>
        <v>F-08.02_010</v>
      </c>
      <c r="B78" s="386" t="s">
        <v>292</v>
      </c>
      <c r="C78" s="320" t="s">
        <v>15</v>
      </c>
      <c r="D78" s="55" t="s">
        <v>1568</v>
      </c>
      <c r="E78" s="1817"/>
      <c r="F78" s="1817"/>
      <c r="G78" s="822">
        <f>IF($E$78&gt;=0,0,"f8.2&gt;=0")</f>
        <v>0</v>
      </c>
      <c r="H78" s="822">
        <f>IF($F$78&gt;=0,0,"f8.2&gt;=0")</f>
        <v>0</v>
      </c>
    </row>
    <row r="79" spans="1:15">
      <c r="A79" s="1156" t="str">
        <f>$A$66&amp;"_"&amp;B79</f>
        <v>F-08.02_020</v>
      </c>
      <c r="B79" s="364" t="s">
        <v>293</v>
      </c>
      <c r="C79" s="231" t="s">
        <v>32</v>
      </c>
      <c r="D79" s="44" t="s">
        <v>1569</v>
      </c>
      <c r="E79" s="911"/>
      <c r="F79" s="911"/>
      <c r="G79" s="822">
        <f>IF($E$79&gt;=0,0,"f8.2&gt;=0")</f>
        <v>0</v>
      </c>
      <c r="H79" s="822">
        <f>IF($F$79&gt;=0,0,"f8.2&gt;=0")</f>
        <v>0</v>
      </c>
    </row>
    <row r="80" spans="1:15" ht="21">
      <c r="A80" s="1156" t="str">
        <f>$A$66&amp;"_"&amp;B80</f>
        <v>F-08.02_030</v>
      </c>
      <c r="B80" s="376" t="s">
        <v>294</v>
      </c>
      <c r="C80" s="177" t="s">
        <v>401</v>
      </c>
      <c r="D80" s="341" t="s">
        <v>1957</v>
      </c>
      <c r="E80" s="862">
        <f>SUM($E$78:$E$79)</f>
        <v>0</v>
      </c>
      <c r="F80" s="862">
        <f>SUM($F$78:$F$79)</f>
        <v>0</v>
      </c>
      <c r="G80" s="829"/>
      <c r="H80" s="829"/>
    </row>
    <row r="81" spans="1:8" ht="41.25" customHeight="1">
      <c r="A81" s="1156" t="s">
        <v>724</v>
      </c>
      <c r="B81" s="660"/>
      <c r="E81" s="993"/>
      <c r="F81" s="993"/>
      <c r="G81" s="993"/>
      <c r="H81" s="829"/>
    </row>
    <row r="82" spans="1:8" ht="60.75" customHeight="1">
      <c r="E82" s="660"/>
    </row>
    <row r="83" spans="1:8">
      <c r="B83" s="660"/>
      <c r="F83" s="660"/>
      <c r="G83" s="829"/>
      <c r="H83" s="829"/>
    </row>
    <row r="84" spans="1:8">
      <c r="B84" s="660"/>
      <c r="F84" s="660"/>
      <c r="G84" s="829"/>
      <c r="H84" s="829"/>
    </row>
    <row r="85" spans="1:8">
      <c r="B85" s="660"/>
      <c r="F85" s="660"/>
      <c r="G85" s="829"/>
      <c r="H85" s="829"/>
    </row>
    <row r="86" spans="1:8">
      <c r="B86" s="660"/>
      <c r="F86" s="660"/>
      <c r="G86" s="822"/>
      <c r="H86" s="822"/>
    </row>
    <row r="87" spans="1:8">
      <c r="B87" s="660"/>
      <c r="F87" s="660"/>
      <c r="G87" s="822"/>
      <c r="H87" s="829"/>
    </row>
    <row r="88" spans="1:8">
      <c r="B88" s="660"/>
      <c r="F88" s="660"/>
      <c r="G88" s="829"/>
      <c r="H88" s="829"/>
    </row>
    <row r="89" spans="1:8">
      <c r="B89" s="660"/>
      <c r="F89" s="660"/>
      <c r="G89" s="829"/>
      <c r="H89" s="829"/>
    </row>
    <row r="90" spans="1:8">
      <c r="B90" s="660"/>
      <c r="F90" s="660"/>
      <c r="G90" s="829"/>
      <c r="H90" s="829"/>
    </row>
    <row r="91" spans="1:8">
      <c r="B91" s="660"/>
      <c r="F91" s="660"/>
    </row>
    <row r="92" spans="1:8">
      <c r="B92" s="660"/>
      <c r="F92" s="660"/>
    </row>
    <row r="93" spans="1:8">
      <c r="B93" s="660"/>
      <c r="F93" s="660"/>
    </row>
    <row r="94" spans="1:8">
      <c r="B94" s="660"/>
      <c r="F94" s="660"/>
    </row>
    <row r="95" spans="1:8">
      <c r="B95" s="660"/>
      <c r="F95" s="660"/>
    </row>
    <row r="96" spans="1:8">
      <c r="B96" s="660"/>
      <c r="F96" s="660"/>
    </row>
    <row r="97" spans="2:6">
      <c r="B97" s="660"/>
      <c r="F97" s="660"/>
    </row>
    <row r="98" spans="2:6">
      <c r="B98" s="660"/>
      <c r="F98" s="660"/>
    </row>
    <row r="99" spans="2:6">
      <c r="B99" s="660"/>
      <c r="F99" s="660"/>
    </row>
    <row r="100" spans="2:6">
      <c r="B100" s="660"/>
      <c r="F100" s="660"/>
    </row>
    <row r="101" spans="2:6">
      <c r="B101" s="660"/>
      <c r="F101" s="660"/>
    </row>
    <row r="102" spans="2:6">
      <c r="B102" s="660"/>
      <c r="F102" s="660"/>
    </row>
    <row r="103" spans="2:6">
      <c r="B103" s="660"/>
      <c r="F103" s="660"/>
    </row>
    <row r="104" spans="2:6">
      <c r="B104" s="660"/>
      <c r="F104" s="660"/>
    </row>
    <row r="105" spans="2:6">
      <c r="B105" s="660"/>
      <c r="F105" s="660"/>
    </row>
    <row r="106" spans="2:6">
      <c r="B106" s="660"/>
      <c r="F106" s="660"/>
    </row>
    <row r="107" spans="2:6">
      <c r="B107" s="660"/>
      <c r="F107" s="660"/>
    </row>
    <row r="108" spans="2:6">
      <c r="B108" s="660"/>
      <c r="F108" s="660"/>
    </row>
    <row r="109" spans="2:6">
      <c r="B109" s="660"/>
      <c r="F109" s="660"/>
    </row>
    <row r="110" spans="2:6">
      <c r="B110" s="660"/>
      <c r="F110" s="660"/>
    </row>
    <row r="111" spans="2:6">
      <c r="B111" s="660"/>
      <c r="F111" s="660"/>
    </row>
    <row r="112" spans="2:6">
      <c r="B112" s="660"/>
      <c r="F112" s="660"/>
    </row>
    <row r="113" spans="2:6">
      <c r="B113" s="660"/>
      <c r="F113" s="660"/>
    </row>
    <row r="114" spans="2:6">
      <c r="B114" s="660"/>
      <c r="F114" s="660"/>
    </row>
    <row r="115" spans="2:6">
      <c r="B115" s="660"/>
      <c r="F115" s="660"/>
    </row>
    <row r="116" spans="2:6">
      <c r="B116" s="660"/>
      <c r="F116" s="660"/>
    </row>
    <row r="117" spans="2:6">
      <c r="B117" s="660"/>
      <c r="F117" s="660"/>
    </row>
    <row r="118" spans="2:6">
      <c r="B118" s="660"/>
      <c r="F118" s="660"/>
    </row>
    <row r="119" spans="2:6">
      <c r="B119" s="660"/>
      <c r="F119" s="660"/>
    </row>
    <row r="120" spans="2:6">
      <c r="B120" s="660"/>
      <c r="F120" s="660"/>
    </row>
    <row r="121" spans="2:6">
      <c r="B121" s="660"/>
      <c r="F121" s="660"/>
    </row>
    <row r="122" spans="2:6">
      <c r="B122" s="660"/>
      <c r="F122" s="660"/>
    </row>
    <row r="123" spans="2:6">
      <c r="B123" s="660"/>
      <c r="F123" s="660"/>
    </row>
    <row r="124" spans="2:6">
      <c r="B124" s="660"/>
      <c r="F124" s="660"/>
    </row>
    <row r="125" spans="2:6">
      <c r="B125" s="660"/>
      <c r="F125" s="660"/>
    </row>
    <row r="126" spans="2:6">
      <c r="B126" s="660"/>
      <c r="F126" s="660"/>
    </row>
    <row r="127" spans="2:6">
      <c r="B127" s="660"/>
      <c r="C127" s="660"/>
      <c r="D127" s="660"/>
      <c r="F127" s="660"/>
    </row>
    <row r="128" spans="2:6">
      <c r="B128" s="660"/>
      <c r="C128" s="660"/>
      <c r="D128" s="660"/>
      <c r="F128" s="660"/>
    </row>
    <row r="129" spans="2:6">
      <c r="B129" s="660"/>
      <c r="C129" s="660"/>
      <c r="D129" s="660"/>
      <c r="F129" s="660"/>
    </row>
    <row r="130" spans="2:6">
      <c r="B130" s="660"/>
      <c r="C130" s="660"/>
      <c r="D130" s="660"/>
      <c r="F130" s="660"/>
    </row>
    <row r="131" spans="2:6">
      <c r="B131" s="660"/>
      <c r="C131" s="660"/>
      <c r="D131" s="660"/>
      <c r="F131" s="660"/>
    </row>
    <row r="132" spans="2:6">
      <c r="B132" s="660"/>
      <c r="C132" s="660"/>
      <c r="D132" s="660"/>
      <c r="E132" s="660"/>
      <c r="F132" s="660"/>
    </row>
    <row r="133" spans="2:6">
      <c r="B133" s="660"/>
      <c r="C133" s="660"/>
      <c r="D133" s="660"/>
      <c r="E133" s="660"/>
      <c r="F133" s="660"/>
    </row>
    <row r="134" spans="2:6">
      <c r="B134" s="660"/>
      <c r="C134" s="660"/>
      <c r="D134" s="660"/>
      <c r="E134" s="660"/>
      <c r="F134" s="660"/>
    </row>
    <row r="135" spans="2:6">
      <c r="B135" s="660"/>
      <c r="C135" s="660"/>
      <c r="D135" s="660"/>
      <c r="E135" s="660"/>
      <c r="F135" s="660"/>
    </row>
    <row r="136" spans="2:6">
      <c r="B136" s="660"/>
      <c r="C136" s="660"/>
      <c r="D136" s="660"/>
      <c r="E136" s="660"/>
      <c r="F136" s="660"/>
    </row>
  </sheetData>
  <sheetProtection password="C2F4" sheet="1" objects="1" scenarios="1"/>
  <mergeCells count="6">
    <mergeCell ref="I11:I12"/>
    <mergeCell ref="C75:C76"/>
    <mergeCell ref="E74:F74"/>
    <mergeCell ref="I46:I47"/>
    <mergeCell ref="E11:H11"/>
    <mergeCell ref="E46:H46"/>
  </mergeCells>
  <dataValidations count="2">
    <dataValidation type="whole" allowBlank="1" showInputMessage="1" showErrorMessage="1" error="wrong number format or sign" sqref="I19">
      <formula1>-99999999</formula1>
      <formula2>99999999</formula2>
    </dataValidation>
    <dataValidation type="whole" allowBlank="1" showInputMessage="1" showErrorMessage="1" error="wrong number  format or sign" sqref="E17:E18 H15 E21:G24 E26:G29 E31:G34 E36:G39 E41:G44 E50:G53 E55:G58 E60:G62 E78:F79">
      <formula1>0</formula1>
      <formula2>99999999</formula2>
    </dataValidation>
  </dataValidations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scale="51" fitToHeight="3" orientation="landscape" cellComments="asDisplayed" r:id="rId1"/>
  <headerFooter scaleWithDoc="0" alignWithMargins="0"/>
  <rowBreaks count="1" manualBreakCount="1">
    <brk id="45" min="1" max="1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Y82"/>
  <sheetViews>
    <sheetView topLeftCell="B6" zoomScaleNormal="100" zoomScaleSheetLayoutView="100" workbookViewId="0">
      <selection activeCell="B6" sqref="B6"/>
    </sheetView>
  </sheetViews>
  <sheetFormatPr defaultColWidth="9.140625" defaultRowHeight="12.75"/>
  <cols>
    <col min="1" max="1" width="13.5703125" style="1156" hidden="1" customWidth="1"/>
    <col min="2" max="2" width="4" style="30" bestFit="1" customWidth="1"/>
    <col min="3" max="3" width="66.140625" style="30" customWidth="1"/>
    <col min="4" max="4" width="28.85546875" style="67" customWidth="1"/>
    <col min="5" max="14" width="14.28515625" style="30" customWidth="1"/>
    <col min="15" max="15" width="18.42578125" style="30" customWidth="1"/>
    <col min="16" max="16" width="16.140625" style="30" customWidth="1"/>
    <col min="17" max="25" width="18.42578125" style="30" customWidth="1"/>
    <col min="26" max="16384" width="9.140625" style="30"/>
  </cols>
  <sheetData>
    <row r="1" spans="1:25" s="1097" customFormat="1" ht="18" hidden="1" customHeight="1">
      <c r="A1" s="1096" t="s">
        <v>2255</v>
      </c>
      <c r="B1" s="1118">
        <v>2</v>
      </c>
      <c r="C1" s="1118">
        <v>1</v>
      </c>
      <c r="D1" s="1119">
        <v>15</v>
      </c>
      <c r="E1" s="1182">
        <v>5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25" s="1097" customFormat="1" ht="18" hidden="1" customHeight="1">
      <c r="A2" s="1096" t="str">
        <f>Index!$A$2</f>
        <v>V20181222</v>
      </c>
      <c r="B2" s="1098"/>
      <c r="C2" s="1099"/>
      <c r="D2" s="1100"/>
      <c r="E2" s="1100" t="str">
        <f>$A$1&amp;"_"&amp;E14</f>
        <v>F-09.01.1_010</v>
      </c>
      <c r="F2" s="1100" t="str">
        <f t="shared" ref="F2:N2" si="0">$A$1&amp;"_"&amp;F14</f>
        <v>F-09.01.1_020</v>
      </c>
      <c r="G2" s="1100" t="str">
        <f t="shared" si="0"/>
        <v>F-09.01.1_030</v>
      </c>
      <c r="H2" s="1100" t="str">
        <f t="shared" si="0"/>
        <v>F-09.01.1_040</v>
      </c>
      <c r="I2" s="1100" t="str">
        <f t="shared" si="0"/>
        <v>F-09.01.1_050</v>
      </c>
      <c r="J2" s="1100" t="str">
        <f t="shared" si="0"/>
        <v>F-09.01.1_060</v>
      </c>
      <c r="K2" s="1100" t="str">
        <f t="shared" si="0"/>
        <v>F-09.01.1_100</v>
      </c>
      <c r="L2" s="1100" t="str">
        <f t="shared" si="0"/>
        <v>F-09.01.1_110</v>
      </c>
      <c r="M2" s="1100" t="str">
        <f t="shared" si="0"/>
        <v>F-09.01.1_120</v>
      </c>
      <c r="N2" s="1100" t="str">
        <f t="shared" si="0"/>
        <v>F-09.01.1_130</v>
      </c>
      <c r="O2" s="1100"/>
      <c r="P2" s="1100"/>
      <c r="Q2" s="1100"/>
      <c r="R2" s="1100"/>
      <c r="S2" s="1100"/>
      <c r="T2" s="1100"/>
      <c r="U2" s="1100"/>
      <c r="V2" s="1100"/>
      <c r="W2" s="1101"/>
    </row>
    <row r="3" spans="1:25" s="1097" customFormat="1" ht="18" hidden="1" customHeight="1">
      <c r="A3" s="1096" t="str">
        <f>"R:A1:P"&amp;ROW(A82)+1</f>
        <v>R:A1:P83</v>
      </c>
      <c r="B3" s="1102"/>
      <c r="C3" s="1103"/>
      <c r="D3" s="1104"/>
      <c r="E3" s="1105"/>
      <c r="F3" s="1105"/>
      <c r="G3" s="1105"/>
      <c r="H3" s="1105"/>
      <c r="I3" s="1105"/>
      <c r="J3" s="1105"/>
      <c r="K3" s="1105"/>
      <c r="L3" s="1105"/>
      <c r="M3" s="1105"/>
      <c r="N3" s="1105"/>
      <c r="O3" s="1106"/>
      <c r="P3" s="1107"/>
      <c r="Q3" s="1107"/>
      <c r="R3" s="1107"/>
      <c r="S3" s="1107"/>
      <c r="T3" s="1107"/>
    </row>
    <row r="4" spans="1:25" s="1097" customFormat="1" ht="18" hidden="1" customHeight="1">
      <c r="A4" s="1096"/>
      <c r="B4" s="1102"/>
      <c r="C4" s="1103"/>
      <c r="D4" s="1108"/>
      <c r="E4" s="1109"/>
      <c r="F4" s="1110"/>
      <c r="G4" s="1111">
        <f>W5</f>
        <v>0</v>
      </c>
      <c r="H4" s="1107"/>
      <c r="I4" s="1107"/>
      <c r="J4" s="1107"/>
      <c r="K4" s="1107"/>
    </row>
    <row r="5" spans="1:25" s="1097" customFormat="1" ht="18" hidden="1" customHeight="1">
      <c r="A5" s="1096"/>
      <c r="B5" s="1102"/>
      <c r="C5" s="1103"/>
      <c r="D5" s="1112"/>
      <c r="E5" s="1113"/>
      <c r="F5" s="1113"/>
      <c r="G5" s="1113"/>
      <c r="H5" s="1113"/>
      <c r="I5" s="1113"/>
      <c r="J5" s="1113"/>
      <c r="K5" s="1113"/>
      <c r="L5" s="1113"/>
      <c r="M5" s="1113"/>
      <c r="N5" s="1113"/>
      <c r="O5" s="1114"/>
      <c r="W5" s="1097">
        <f>COUNTIF(O14:Y40,"&lt;&gt;0")-COUNTBLANK(O14:Y40)</f>
        <v>0</v>
      </c>
    </row>
    <row r="6" spans="1:25" s="1116" customFormat="1">
      <c r="A6" s="1100" t="s">
        <v>718</v>
      </c>
      <c r="B6" s="1115"/>
    </row>
    <row r="7" spans="1:25">
      <c r="A7" s="1100" t="s">
        <v>718</v>
      </c>
      <c r="B7" s="269" t="s">
        <v>567</v>
      </c>
    </row>
    <row r="8" spans="1:25">
      <c r="A8" s="1100" t="s">
        <v>718</v>
      </c>
    </row>
    <row r="9" spans="1:25">
      <c r="A9" s="1100" t="s">
        <v>718</v>
      </c>
      <c r="B9" s="1577" t="s">
        <v>1932</v>
      </c>
      <c r="D9" s="594"/>
    </row>
    <row r="10" spans="1:25">
      <c r="A10" s="1100" t="s">
        <v>718</v>
      </c>
      <c r="C10" s="66"/>
      <c r="D10" s="68"/>
    </row>
    <row r="11" spans="1:25" ht="44.25" customHeight="1">
      <c r="A11" s="1100" t="s">
        <v>718</v>
      </c>
      <c r="B11" s="387"/>
      <c r="C11" s="2037"/>
      <c r="D11" s="356"/>
      <c r="E11" s="1978" t="s">
        <v>1938</v>
      </c>
      <c r="F11" s="2042"/>
      <c r="G11" s="2043"/>
      <c r="H11" s="1978" t="s">
        <v>1939</v>
      </c>
      <c r="I11" s="2042"/>
      <c r="J11" s="2043"/>
      <c r="K11" s="1978" t="s">
        <v>1940</v>
      </c>
      <c r="L11" s="2044"/>
      <c r="M11" s="2045" t="s">
        <v>1941</v>
      </c>
      <c r="N11" s="2044"/>
      <c r="O11"/>
    </row>
    <row r="12" spans="1:25" ht="105">
      <c r="A12" s="1100"/>
      <c r="B12" s="389"/>
      <c r="C12" s="2038"/>
      <c r="D12" s="445"/>
      <c r="E12" s="613" t="s">
        <v>1942</v>
      </c>
      <c r="F12" s="613" t="s">
        <v>1943</v>
      </c>
      <c r="G12" s="613" t="s">
        <v>1944</v>
      </c>
      <c r="H12" s="613" t="s">
        <v>1942</v>
      </c>
      <c r="I12" s="613" t="s">
        <v>1943</v>
      </c>
      <c r="J12" s="613" t="s">
        <v>1944</v>
      </c>
      <c r="K12" s="1581" t="s">
        <v>422</v>
      </c>
      <c r="L12" s="1581" t="s">
        <v>1945</v>
      </c>
      <c r="M12" s="1581" t="s">
        <v>422</v>
      </c>
      <c r="N12" s="1581" t="s">
        <v>1946</v>
      </c>
      <c r="O12"/>
    </row>
    <row r="13" spans="1:25" ht="73.5">
      <c r="A13" s="1100" t="s">
        <v>718</v>
      </c>
      <c r="B13" s="389"/>
      <c r="C13" s="2038"/>
      <c r="D13" s="398" t="s">
        <v>551</v>
      </c>
      <c r="E13" s="584" t="s">
        <v>1947</v>
      </c>
      <c r="F13" s="584" t="s">
        <v>1947</v>
      </c>
      <c r="G13" s="584" t="s">
        <v>1948</v>
      </c>
      <c r="H13" s="584" t="s">
        <v>1949</v>
      </c>
      <c r="I13" s="584" t="s">
        <v>1950</v>
      </c>
      <c r="J13" s="584" t="s">
        <v>1951</v>
      </c>
      <c r="K13" s="584" t="s">
        <v>1952</v>
      </c>
      <c r="L13" s="584" t="s">
        <v>1953</v>
      </c>
      <c r="M13" s="584" t="s">
        <v>1954</v>
      </c>
      <c r="N13" s="584" t="s">
        <v>1955</v>
      </c>
      <c r="O13"/>
    </row>
    <row r="14" spans="1:25">
      <c r="A14" s="1100" t="s">
        <v>718</v>
      </c>
      <c r="B14" s="393"/>
      <c r="C14" s="458"/>
      <c r="D14" s="400"/>
      <c r="E14" s="1582" t="s">
        <v>292</v>
      </c>
      <c r="F14" s="1582" t="s">
        <v>293</v>
      </c>
      <c r="G14" s="1582" t="s">
        <v>294</v>
      </c>
      <c r="H14" s="1582" t="s">
        <v>295</v>
      </c>
      <c r="I14" s="1582" t="s">
        <v>296</v>
      </c>
      <c r="J14" s="1582" t="s">
        <v>297</v>
      </c>
      <c r="K14" s="1582">
        <v>100</v>
      </c>
      <c r="L14" s="1582">
        <v>110</v>
      </c>
      <c r="M14" s="1582">
        <v>120</v>
      </c>
      <c r="N14" s="1582">
        <v>130</v>
      </c>
      <c r="O14"/>
    </row>
    <row r="15" spans="1:25" ht="31.5">
      <c r="A15" s="1156" t="str">
        <f t="shared" ref="A15:A38" si="1">$A$1&amp;"_"&amp;B15</f>
        <v>F-09.01.1_010</v>
      </c>
      <c r="B15" s="386" t="s">
        <v>292</v>
      </c>
      <c r="C15" s="181" t="s">
        <v>133</v>
      </c>
      <c r="D15" s="275" t="s">
        <v>1729</v>
      </c>
      <c r="E15" s="980">
        <f t="shared" ref="E15:L15" si="2">SUM(E$17:E$22)</f>
        <v>0</v>
      </c>
      <c r="F15" s="980">
        <f t="shared" si="2"/>
        <v>0</v>
      </c>
      <c r="G15" s="980">
        <f t="shared" si="2"/>
        <v>0</v>
      </c>
      <c r="H15" s="980">
        <f>SUM(H$17:H$22)</f>
        <v>0</v>
      </c>
      <c r="I15" s="980">
        <f t="shared" si="2"/>
        <v>0</v>
      </c>
      <c r="J15" s="980">
        <f t="shared" si="2"/>
        <v>0</v>
      </c>
      <c r="K15" s="980">
        <f t="shared" si="2"/>
        <v>0</v>
      </c>
      <c r="L15" s="980">
        <f t="shared" si="2"/>
        <v>0</v>
      </c>
      <c r="M15" s="1808"/>
      <c r="N15" s="1809"/>
      <c r="O15" s="665">
        <f>IF(E$15&gt;=0,0,"F9.1.1&gt;=0")</f>
        <v>0</v>
      </c>
      <c r="P15" s="1484">
        <f>IF($M$16&lt;=$M$15,0,"c120(r021&lt;=r010)")</f>
        <v>0</v>
      </c>
      <c r="Q15" s="1484">
        <f>IF(F$15&gt;=0,0,"F9.1.1&gt;=0")</f>
        <v>0</v>
      </c>
      <c r="R15" s="1484">
        <f>IF(G$15&gt;=0,0,"F9.1.1&gt;=0")</f>
        <v>0</v>
      </c>
      <c r="S15" s="1484">
        <f t="shared" ref="S15:T15" si="3">IF(H$15&gt;=0,0,"F9.1.1&gt;=0")</f>
        <v>0</v>
      </c>
      <c r="T15" s="1484">
        <f t="shared" si="3"/>
        <v>0</v>
      </c>
      <c r="U15" s="1484">
        <f t="shared" ref="U15" si="4">IF(J$15&gt;=0,0,"F9.1.1&gt;=0")</f>
        <v>0</v>
      </c>
      <c r="V15" s="1484">
        <f t="shared" ref="V15" si="5">IF(K$15&gt;=0,0,"F9.1.1&gt;=0")</f>
        <v>0</v>
      </c>
      <c r="W15" s="1484">
        <f t="shared" ref="W15:Y16" si="6">IF(L$15&gt;=0,0,"F9.1.1&gt;=0")</f>
        <v>0</v>
      </c>
      <c r="X15" s="1484">
        <f t="shared" si="6"/>
        <v>0</v>
      </c>
    </row>
    <row r="16" spans="1:25">
      <c r="A16" s="1156" t="str">
        <f t="shared" si="1"/>
        <v>F-09.01.1_021</v>
      </c>
      <c r="B16" s="368" t="s">
        <v>697</v>
      </c>
      <c r="C16" s="346" t="s">
        <v>696</v>
      </c>
      <c r="D16" s="119" t="s">
        <v>1643</v>
      </c>
      <c r="E16" s="1808"/>
      <c r="F16" s="1808"/>
      <c r="G16" s="1808"/>
      <c r="H16" s="1808"/>
      <c r="I16" s="1808"/>
      <c r="J16" s="1808"/>
      <c r="K16" s="1808"/>
      <c r="L16" s="1808"/>
      <c r="M16" s="1808"/>
      <c r="N16" s="1808"/>
      <c r="O16" s="1484">
        <f t="shared" ref="O16:O38" si="7">IF(E$15&gt;=0,0,"F9.1.1&gt;=0")</f>
        <v>0</v>
      </c>
      <c r="P16" s="665">
        <f>IF($E$16&lt;=$E$15,0,"c10(r21&lt;=r10)")</f>
        <v>0</v>
      </c>
      <c r="Q16" s="1484">
        <f t="shared" ref="Q16:Q38" si="8">IF(F$15&gt;=0,0,"F9.1.1&gt;=0")</f>
        <v>0</v>
      </c>
      <c r="R16" s="1484">
        <f t="shared" ref="R16:R38" si="9">IF(G$15&gt;=0,0,"F9.1.1&gt;=0")</f>
        <v>0</v>
      </c>
      <c r="S16" s="1484">
        <f t="shared" ref="S16:S38" si="10">IF(H$15&gt;=0,0,"F9.1.1&gt;=0")</f>
        <v>0</v>
      </c>
      <c r="T16" s="1484">
        <f t="shared" ref="T16:T38" si="11">IF(I$15&gt;=0,0,"F9.1.1&gt;=0")</f>
        <v>0</v>
      </c>
      <c r="U16" s="1484">
        <f t="shared" ref="U16:U38" si="12">IF(J$15&gt;=0,0,"F9.1.1&gt;=0")</f>
        <v>0</v>
      </c>
      <c r="V16" s="1484">
        <f t="shared" ref="V16:V38" si="13">IF(K$15&gt;=0,0,"F9.1.1&gt;=0")</f>
        <v>0</v>
      </c>
      <c r="W16" s="1484">
        <f t="shared" ref="W16:Y38" si="14">IF(L$15&gt;=0,0,"F9.1.1&gt;=0")</f>
        <v>0</v>
      </c>
      <c r="X16" s="1484">
        <f t="shared" si="6"/>
        <v>0</v>
      </c>
      <c r="Y16" s="1484">
        <f t="shared" si="6"/>
        <v>0</v>
      </c>
    </row>
    <row r="17" spans="1:25">
      <c r="A17" s="1156" t="str">
        <f t="shared" si="1"/>
        <v>F-09.01.1_030</v>
      </c>
      <c r="B17" s="368" t="s">
        <v>294</v>
      </c>
      <c r="C17" s="180" t="s">
        <v>99</v>
      </c>
      <c r="D17" s="119" t="s">
        <v>1713</v>
      </c>
      <c r="E17" s="1808"/>
      <c r="F17" s="1808"/>
      <c r="G17" s="1808"/>
      <c r="H17" s="1808"/>
      <c r="I17" s="1808"/>
      <c r="J17" s="1808"/>
      <c r="K17" s="1808"/>
      <c r="L17" s="1808"/>
      <c r="M17" s="1810"/>
      <c r="N17" s="1810"/>
      <c r="O17" s="1484">
        <f t="shared" si="7"/>
        <v>0</v>
      </c>
      <c r="P17" s="660"/>
      <c r="Q17" s="1484">
        <f t="shared" si="8"/>
        <v>0</v>
      </c>
      <c r="R17" s="1484">
        <f t="shared" si="9"/>
        <v>0</v>
      </c>
      <c r="S17" s="1484">
        <f t="shared" si="10"/>
        <v>0</v>
      </c>
      <c r="T17" s="1484">
        <f t="shared" si="11"/>
        <v>0</v>
      </c>
      <c r="U17" s="1484">
        <f t="shared" si="12"/>
        <v>0</v>
      </c>
      <c r="V17" s="1484">
        <f t="shared" si="13"/>
        <v>0</v>
      </c>
      <c r="W17" s="1484">
        <f t="shared" si="14"/>
        <v>0</v>
      </c>
    </row>
    <row r="18" spans="1:25">
      <c r="A18" s="1156" t="str">
        <f t="shared" si="1"/>
        <v>F-09.01.1_040</v>
      </c>
      <c r="B18" s="368" t="s">
        <v>295</v>
      </c>
      <c r="C18" s="180" t="s">
        <v>100</v>
      </c>
      <c r="D18" s="119" t="s">
        <v>1714</v>
      </c>
      <c r="E18" s="1808"/>
      <c r="F18" s="1808"/>
      <c r="G18" s="1808"/>
      <c r="H18" s="1808"/>
      <c r="I18" s="1808"/>
      <c r="J18" s="1808"/>
      <c r="K18" s="1808"/>
      <c r="L18" s="1808"/>
      <c r="M18" s="1810"/>
      <c r="N18" s="1810"/>
      <c r="O18" s="1484">
        <f t="shared" si="7"/>
        <v>0</v>
      </c>
      <c r="P18" s="660"/>
      <c r="Q18" s="1484">
        <f t="shared" si="8"/>
        <v>0</v>
      </c>
      <c r="R18" s="1484">
        <f t="shared" si="9"/>
        <v>0</v>
      </c>
      <c r="S18" s="1484">
        <f t="shared" si="10"/>
        <v>0</v>
      </c>
      <c r="T18" s="1484">
        <f t="shared" si="11"/>
        <v>0</v>
      </c>
      <c r="U18" s="1484">
        <f t="shared" si="12"/>
        <v>0</v>
      </c>
      <c r="V18" s="1484">
        <f t="shared" si="13"/>
        <v>0</v>
      </c>
      <c r="W18" s="1484">
        <f t="shared" si="14"/>
        <v>0</v>
      </c>
    </row>
    <row r="19" spans="1:25">
      <c r="A19" s="1156" t="str">
        <f t="shared" si="1"/>
        <v>F-09.01.1_050</v>
      </c>
      <c r="B19" s="368" t="s">
        <v>296</v>
      </c>
      <c r="C19" s="180" t="s">
        <v>101</v>
      </c>
      <c r="D19" s="119" t="s">
        <v>1709</v>
      </c>
      <c r="E19" s="1808"/>
      <c r="F19" s="1808"/>
      <c r="G19" s="1808"/>
      <c r="H19" s="1808"/>
      <c r="I19" s="1808"/>
      <c r="J19" s="1808"/>
      <c r="K19" s="1808"/>
      <c r="L19" s="1808"/>
      <c r="M19" s="1810"/>
      <c r="N19" s="1810"/>
      <c r="O19" s="1484">
        <f t="shared" si="7"/>
        <v>0</v>
      </c>
      <c r="P19" s="660"/>
      <c r="Q19" s="1484">
        <f t="shared" si="8"/>
        <v>0</v>
      </c>
      <c r="R19" s="1484">
        <f t="shared" si="9"/>
        <v>0</v>
      </c>
      <c r="S19" s="1484">
        <f t="shared" si="10"/>
        <v>0</v>
      </c>
      <c r="T19" s="1484">
        <f t="shared" si="11"/>
        <v>0</v>
      </c>
      <c r="U19" s="1484">
        <f t="shared" si="12"/>
        <v>0</v>
      </c>
      <c r="V19" s="1484">
        <f t="shared" si="13"/>
        <v>0</v>
      </c>
      <c r="W19" s="1484">
        <f t="shared" si="14"/>
        <v>0</v>
      </c>
    </row>
    <row r="20" spans="1:25">
      <c r="A20" s="1156" t="str">
        <f t="shared" si="1"/>
        <v>F-09.01.1_060</v>
      </c>
      <c r="B20" s="368" t="s">
        <v>297</v>
      </c>
      <c r="C20" s="180" t="s">
        <v>102</v>
      </c>
      <c r="D20" s="119" t="s">
        <v>1710</v>
      </c>
      <c r="E20" s="1808"/>
      <c r="F20" s="1808"/>
      <c r="G20" s="1808"/>
      <c r="H20" s="1808"/>
      <c r="I20" s="1808"/>
      <c r="J20" s="1808"/>
      <c r="K20" s="1808"/>
      <c r="L20" s="1808"/>
      <c r="M20" s="1810"/>
      <c r="N20" s="1810"/>
      <c r="O20" s="1484">
        <f t="shared" si="7"/>
        <v>0</v>
      </c>
      <c r="P20" s="660"/>
      <c r="Q20" s="1484">
        <f t="shared" si="8"/>
        <v>0</v>
      </c>
      <c r="R20" s="1484">
        <f t="shared" si="9"/>
        <v>0</v>
      </c>
      <c r="S20" s="1484">
        <f t="shared" si="10"/>
        <v>0</v>
      </c>
      <c r="T20" s="1484">
        <f t="shared" si="11"/>
        <v>0</v>
      </c>
      <c r="U20" s="1484">
        <f t="shared" si="12"/>
        <v>0</v>
      </c>
      <c r="V20" s="1484">
        <f t="shared" si="13"/>
        <v>0</v>
      </c>
      <c r="W20" s="1484">
        <f t="shared" si="14"/>
        <v>0</v>
      </c>
    </row>
    <row r="21" spans="1:25">
      <c r="A21" s="1156" t="str">
        <f t="shared" si="1"/>
        <v>F-09.01.1_070</v>
      </c>
      <c r="B21" s="368" t="s">
        <v>298</v>
      </c>
      <c r="C21" s="42" t="s">
        <v>127</v>
      </c>
      <c r="D21" s="119" t="s">
        <v>1711</v>
      </c>
      <c r="E21" s="1808"/>
      <c r="F21" s="1808"/>
      <c r="G21" s="1808"/>
      <c r="H21" s="1808"/>
      <c r="I21" s="1808"/>
      <c r="J21" s="1808"/>
      <c r="K21" s="1808"/>
      <c r="L21" s="1808"/>
      <c r="M21" s="1810"/>
      <c r="N21" s="1810"/>
      <c r="O21" s="1484">
        <f t="shared" si="7"/>
        <v>0</v>
      </c>
      <c r="P21" s="660"/>
      <c r="Q21" s="1484">
        <f t="shared" si="8"/>
        <v>0</v>
      </c>
      <c r="R21" s="1484">
        <f t="shared" si="9"/>
        <v>0</v>
      </c>
      <c r="S21" s="1484">
        <f t="shared" si="10"/>
        <v>0</v>
      </c>
      <c r="T21" s="1484">
        <f t="shared" si="11"/>
        <v>0</v>
      </c>
      <c r="U21" s="1484">
        <f t="shared" si="12"/>
        <v>0</v>
      </c>
      <c r="V21" s="1484">
        <f t="shared" si="13"/>
        <v>0</v>
      </c>
      <c r="W21" s="1484">
        <f t="shared" si="14"/>
        <v>0</v>
      </c>
    </row>
    <row r="22" spans="1:25">
      <c r="A22" s="1156" t="str">
        <f t="shared" si="1"/>
        <v>F-09.01.1_080</v>
      </c>
      <c r="B22" s="368" t="s">
        <v>299</v>
      </c>
      <c r="C22" s="180" t="s">
        <v>128</v>
      </c>
      <c r="D22" s="119" t="s">
        <v>1717</v>
      </c>
      <c r="E22" s="1808"/>
      <c r="F22" s="1808"/>
      <c r="G22" s="1808"/>
      <c r="H22" s="1808"/>
      <c r="I22" s="1808"/>
      <c r="J22" s="1808"/>
      <c r="K22" s="1808"/>
      <c r="L22" s="1808"/>
      <c r="M22" s="1810"/>
      <c r="N22" s="1810"/>
      <c r="O22" s="1484">
        <f t="shared" si="7"/>
        <v>0</v>
      </c>
      <c r="P22" s="660"/>
      <c r="Q22" s="1484">
        <f t="shared" si="8"/>
        <v>0</v>
      </c>
      <c r="R22" s="1484">
        <f t="shared" si="9"/>
        <v>0</v>
      </c>
      <c r="S22" s="1484">
        <f t="shared" si="10"/>
        <v>0</v>
      </c>
      <c r="T22" s="1484">
        <f t="shared" si="11"/>
        <v>0</v>
      </c>
      <c r="U22" s="1484">
        <f t="shared" si="12"/>
        <v>0</v>
      </c>
      <c r="V22" s="1484">
        <f t="shared" si="13"/>
        <v>0</v>
      </c>
      <c r="W22" s="1484">
        <f t="shared" si="14"/>
        <v>0</v>
      </c>
    </row>
    <row r="23" spans="1:25" ht="31.5">
      <c r="A23" s="1156" t="str">
        <f t="shared" si="1"/>
        <v>F-09.01.1_090</v>
      </c>
      <c r="B23" s="368" t="s">
        <v>300</v>
      </c>
      <c r="C23" s="4" t="s">
        <v>134</v>
      </c>
      <c r="D23" s="324" t="s">
        <v>1730</v>
      </c>
      <c r="E23" s="980">
        <f t="shared" ref="E23:L23" si="15">SUM(E$25:E$30)</f>
        <v>0</v>
      </c>
      <c r="F23" s="980">
        <f t="shared" si="15"/>
        <v>0</v>
      </c>
      <c r="G23" s="980">
        <f t="shared" si="15"/>
        <v>0</v>
      </c>
      <c r="H23" s="980">
        <f t="shared" si="15"/>
        <v>0</v>
      </c>
      <c r="I23" s="980">
        <f t="shared" si="15"/>
        <v>0</v>
      </c>
      <c r="J23" s="980">
        <f t="shared" si="15"/>
        <v>0</v>
      </c>
      <c r="K23" s="980">
        <f t="shared" si="15"/>
        <v>0</v>
      </c>
      <c r="L23" s="980">
        <f t="shared" si="15"/>
        <v>0</v>
      </c>
      <c r="M23" s="1808"/>
      <c r="N23" s="1811"/>
      <c r="O23" s="1484">
        <f t="shared" si="7"/>
        <v>0</v>
      </c>
      <c r="P23" s="1484">
        <f>IF($M$24&lt;=$M$23,0,"c120(r101&lt;=r090)")</f>
        <v>0</v>
      </c>
      <c r="Q23" s="1484">
        <f t="shared" si="8"/>
        <v>0</v>
      </c>
      <c r="R23" s="1484">
        <f t="shared" si="9"/>
        <v>0</v>
      </c>
      <c r="S23" s="1484">
        <f t="shared" si="10"/>
        <v>0</v>
      </c>
      <c r="T23" s="1484">
        <f t="shared" si="11"/>
        <v>0</v>
      </c>
      <c r="U23" s="1484">
        <f t="shared" si="12"/>
        <v>0</v>
      </c>
      <c r="V23" s="1484">
        <f t="shared" si="13"/>
        <v>0</v>
      </c>
      <c r="W23" s="1484">
        <f t="shared" si="14"/>
        <v>0</v>
      </c>
      <c r="X23" s="1484">
        <f t="shared" si="14"/>
        <v>0</v>
      </c>
    </row>
    <row r="24" spans="1:25">
      <c r="A24" s="1156" t="str">
        <f t="shared" si="1"/>
        <v>F-09.01.1_101</v>
      </c>
      <c r="B24" s="363">
        <v>101</v>
      </c>
      <c r="C24" s="346" t="s">
        <v>696</v>
      </c>
      <c r="D24" s="119" t="s">
        <v>1643</v>
      </c>
      <c r="E24" s="1808"/>
      <c r="F24" s="1808"/>
      <c r="G24" s="1808"/>
      <c r="H24" s="1808"/>
      <c r="I24" s="1808"/>
      <c r="J24" s="1808"/>
      <c r="K24" s="1808"/>
      <c r="L24" s="1808"/>
      <c r="M24" s="1808"/>
      <c r="N24" s="1808"/>
      <c r="O24" s="1484">
        <f t="shared" si="7"/>
        <v>0</v>
      </c>
      <c r="P24" s="665">
        <f>IF($E$24&lt;=$E$23,0,"c10(r101&lt;=r90)")</f>
        <v>0</v>
      </c>
      <c r="Q24" s="1484">
        <f t="shared" si="8"/>
        <v>0</v>
      </c>
      <c r="R24" s="1484">
        <f t="shared" si="9"/>
        <v>0</v>
      </c>
      <c r="S24" s="1484">
        <f t="shared" si="10"/>
        <v>0</v>
      </c>
      <c r="T24" s="1484">
        <f t="shared" si="11"/>
        <v>0</v>
      </c>
      <c r="U24" s="1484">
        <f t="shared" si="12"/>
        <v>0</v>
      </c>
      <c r="V24" s="1484">
        <f t="shared" si="13"/>
        <v>0</v>
      </c>
      <c r="W24" s="1484">
        <f t="shared" si="14"/>
        <v>0</v>
      </c>
      <c r="X24" s="1484">
        <f t="shared" si="14"/>
        <v>0</v>
      </c>
      <c r="Y24" s="1484">
        <f t="shared" si="14"/>
        <v>0</v>
      </c>
    </row>
    <row r="25" spans="1:25">
      <c r="A25" s="1156" t="str">
        <f t="shared" si="1"/>
        <v>F-09.01.1_110</v>
      </c>
      <c r="B25" s="368" t="s">
        <v>302</v>
      </c>
      <c r="C25" s="180" t="s">
        <v>99</v>
      </c>
      <c r="D25" s="119" t="s">
        <v>1713</v>
      </c>
      <c r="E25" s="1808"/>
      <c r="F25" s="1808"/>
      <c r="G25" s="1808"/>
      <c r="H25" s="1808"/>
      <c r="I25" s="1808"/>
      <c r="J25" s="1808"/>
      <c r="K25" s="1808"/>
      <c r="L25" s="1808"/>
      <c r="M25" s="1810"/>
      <c r="N25" s="1810"/>
      <c r="O25" s="1484">
        <f t="shared" si="7"/>
        <v>0</v>
      </c>
      <c r="P25" s="660"/>
      <c r="Q25" s="1484">
        <f t="shared" si="8"/>
        <v>0</v>
      </c>
      <c r="R25" s="1484">
        <f t="shared" si="9"/>
        <v>0</v>
      </c>
      <c r="S25" s="1484">
        <f t="shared" si="10"/>
        <v>0</v>
      </c>
      <c r="T25" s="1484">
        <f t="shared" si="11"/>
        <v>0</v>
      </c>
      <c r="U25" s="1484">
        <f t="shared" si="12"/>
        <v>0</v>
      </c>
      <c r="V25" s="1484">
        <f t="shared" si="13"/>
        <v>0</v>
      </c>
      <c r="W25" s="1484">
        <f t="shared" si="14"/>
        <v>0</v>
      </c>
    </row>
    <row r="26" spans="1:25">
      <c r="A26" s="1156" t="str">
        <f t="shared" si="1"/>
        <v>F-09.01.1_120</v>
      </c>
      <c r="B26" s="363" t="s">
        <v>303</v>
      </c>
      <c r="C26" s="180" t="s">
        <v>100</v>
      </c>
      <c r="D26" s="119" t="s">
        <v>1714</v>
      </c>
      <c r="E26" s="1808"/>
      <c r="F26" s="1808"/>
      <c r="G26" s="1808"/>
      <c r="H26" s="1808"/>
      <c r="I26" s="1808"/>
      <c r="J26" s="1808"/>
      <c r="K26" s="1808"/>
      <c r="L26" s="1808"/>
      <c r="M26" s="1810"/>
      <c r="N26" s="1810"/>
      <c r="O26" s="1484">
        <f t="shared" si="7"/>
        <v>0</v>
      </c>
      <c r="P26" s="660"/>
      <c r="Q26" s="1484">
        <f t="shared" si="8"/>
        <v>0</v>
      </c>
      <c r="R26" s="1484">
        <f t="shared" si="9"/>
        <v>0</v>
      </c>
      <c r="S26" s="1484">
        <f t="shared" si="10"/>
        <v>0</v>
      </c>
      <c r="T26" s="1484">
        <f t="shared" si="11"/>
        <v>0</v>
      </c>
      <c r="U26" s="1484">
        <f t="shared" si="12"/>
        <v>0</v>
      </c>
      <c r="V26" s="1484">
        <f t="shared" si="13"/>
        <v>0</v>
      </c>
      <c r="W26" s="1484">
        <f t="shared" si="14"/>
        <v>0</v>
      </c>
    </row>
    <row r="27" spans="1:25">
      <c r="A27" s="1156" t="str">
        <f t="shared" si="1"/>
        <v>F-09.01.1_130</v>
      </c>
      <c r="B27" s="363" t="s">
        <v>304</v>
      </c>
      <c r="C27" s="180" t="s">
        <v>101</v>
      </c>
      <c r="D27" s="119" t="s">
        <v>1709</v>
      </c>
      <c r="E27" s="1808"/>
      <c r="F27" s="1808"/>
      <c r="G27" s="1808"/>
      <c r="H27" s="1808"/>
      <c r="I27" s="1808"/>
      <c r="J27" s="1808"/>
      <c r="K27" s="1808"/>
      <c r="L27" s="1808"/>
      <c r="M27" s="1810"/>
      <c r="N27" s="1810"/>
      <c r="O27" s="1484">
        <f t="shared" si="7"/>
        <v>0</v>
      </c>
      <c r="P27" s="660"/>
      <c r="Q27" s="1484">
        <f t="shared" si="8"/>
        <v>0</v>
      </c>
      <c r="R27" s="1484">
        <f t="shared" si="9"/>
        <v>0</v>
      </c>
      <c r="S27" s="1484">
        <f t="shared" si="10"/>
        <v>0</v>
      </c>
      <c r="T27" s="1484">
        <f t="shared" si="11"/>
        <v>0</v>
      </c>
      <c r="U27" s="1484">
        <f t="shared" si="12"/>
        <v>0</v>
      </c>
      <c r="V27" s="1484">
        <f t="shared" si="13"/>
        <v>0</v>
      </c>
      <c r="W27" s="1484">
        <f t="shared" si="14"/>
        <v>0</v>
      </c>
    </row>
    <row r="28" spans="1:25">
      <c r="A28" s="1156" t="str">
        <f t="shared" si="1"/>
        <v>F-09.01.1_140</v>
      </c>
      <c r="B28" s="363" t="s">
        <v>305</v>
      </c>
      <c r="C28" s="180" t="s">
        <v>102</v>
      </c>
      <c r="D28" s="119" t="s">
        <v>1710</v>
      </c>
      <c r="E28" s="1808"/>
      <c r="F28" s="1808"/>
      <c r="G28" s="1808"/>
      <c r="H28" s="1808"/>
      <c r="I28" s="1808"/>
      <c r="J28" s="1808"/>
      <c r="K28" s="1808"/>
      <c r="L28" s="1808"/>
      <c r="M28" s="1810"/>
      <c r="N28" s="1810"/>
      <c r="O28" s="1484">
        <f t="shared" si="7"/>
        <v>0</v>
      </c>
      <c r="P28" s="660"/>
      <c r="Q28" s="1484">
        <f t="shared" si="8"/>
        <v>0</v>
      </c>
      <c r="R28" s="1484">
        <f t="shared" si="9"/>
        <v>0</v>
      </c>
      <c r="S28" s="1484">
        <f t="shared" si="10"/>
        <v>0</v>
      </c>
      <c r="T28" s="1484">
        <f t="shared" si="11"/>
        <v>0</v>
      </c>
      <c r="U28" s="1484">
        <f t="shared" si="12"/>
        <v>0</v>
      </c>
      <c r="V28" s="1484">
        <f t="shared" si="13"/>
        <v>0</v>
      </c>
      <c r="W28" s="1484">
        <f t="shared" si="14"/>
        <v>0</v>
      </c>
    </row>
    <row r="29" spans="1:25">
      <c r="A29" s="1156" t="str">
        <f t="shared" si="1"/>
        <v>F-09.01.1_150</v>
      </c>
      <c r="B29" s="363" t="s">
        <v>306</v>
      </c>
      <c r="C29" s="42" t="s">
        <v>127</v>
      </c>
      <c r="D29" s="119" t="s">
        <v>1711</v>
      </c>
      <c r="E29" s="1808"/>
      <c r="F29" s="1808"/>
      <c r="G29" s="1808"/>
      <c r="H29" s="1808"/>
      <c r="I29" s="1808"/>
      <c r="J29" s="1808"/>
      <c r="K29" s="1808"/>
      <c r="L29" s="1808"/>
      <c r="M29" s="1810"/>
      <c r="N29" s="1810"/>
      <c r="O29" s="1484">
        <f t="shared" si="7"/>
        <v>0</v>
      </c>
      <c r="P29" s="660"/>
      <c r="Q29" s="1484">
        <f t="shared" si="8"/>
        <v>0</v>
      </c>
      <c r="R29" s="1484">
        <f t="shared" si="9"/>
        <v>0</v>
      </c>
      <c r="S29" s="1484">
        <f t="shared" si="10"/>
        <v>0</v>
      </c>
      <c r="T29" s="1484">
        <f t="shared" si="11"/>
        <v>0</v>
      </c>
      <c r="U29" s="1484">
        <f t="shared" si="12"/>
        <v>0</v>
      </c>
      <c r="V29" s="1484">
        <f t="shared" si="13"/>
        <v>0</v>
      </c>
      <c r="W29" s="1484">
        <f t="shared" si="14"/>
        <v>0</v>
      </c>
    </row>
    <row r="30" spans="1:25">
      <c r="A30" s="1156" t="str">
        <f t="shared" si="1"/>
        <v>F-09.01.1_160</v>
      </c>
      <c r="B30" s="363" t="s">
        <v>307</v>
      </c>
      <c r="C30" s="180" t="s">
        <v>128</v>
      </c>
      <c r="D30" s="119" t="s">
        <v>1717</v>
      </c>
      <c r="E30" s="1808"/>
      <c r="F30" s="1808"/>
      <c r="G30" s="1808"/>
      <c r="H30" s="1808"/>
      <c r="I30" s="1808"/>
      <c r="J30" s="1808"/>
      <c r="K30" s="1808"/>
      <c r="L30" s="1808"/>
      <c r="M30" s="1810"/>
      <c r="N30" s="1810"/>
      <c r="O30" s="1484">
        <f t="shared" si="7"/>
        <v>0</v>
      </c>
      <c r="P30" s="660"/>
      <c r="Q30" s="1484">
        <f t="shared" si="8"/>
        <v>0</v>
      </c>
      <c r="R30" s="1484">
        <f t="shared" si="9"/>
        <v>0</v>
      </c>
      <c r="S30" s="1484">
        <f t="shared" si="10"/>
        <v>0</v>
      </c>
      <c r="T30" s="1484">
        <f t="shared" si="11"/>
        <v>0</v>
      </c>
      <c r="U30" s="1484">
        <f t="shared" si="12"/>
        <v>0</v>
      </c>
      <c r="V30" s="1484">
        <f t="shared" si="13"/>
        <v>0</v>
      </c>
      <c r="W30" s="1484">
        <f t="shared" si="14"/>
        <v>0</v>
      </c>
    </row>
    <row r="31" spans="1:25" ht="31.5">
      <c r="A31" s="1156" t="str">
        <f t="shared" si="1"/>
        <v>F-09.01.1_170</v>
      </c>
      <c r="B31" s="363" t="s">
        <v>308</v>
      </c>
      <c r="C31" s="4" t="s">
        <v>135</v>
      </c>
      <c r="D31" s="115" t="s">
        <v>1731</v>
      </c>
      <c r="E31" s="980">
        <f t="shared" ref="E31:L31" si="16">SUM(E$33:E$38)</f>
        <v>0</v>
      </c>
      <c r="F31" s="980">
        <f t="shared" si="16"/>
        <v>0</v>
      </c>
      <c r="G31" s="980">
        <f t="shared" si="16"/>
        <v>0</v>
      </c>
      <c r="H31" s="980">
        <f t="shared" si="16"/>
        <v>0</v>
      </c>
      <c r="I31" s="980">
        <f t="shared" si="16"/>
        <v>0</v>
      </c>
      <c r="J31" s="980">
        <f t="shared" si="16"/>
        <v>0</v>
      </c>
      <c r="K31" s="980">
        <f t="shared" si="16"/>
        <v>0</v>
      </c>
      <c r="L31" s="980">
        <f t="shared" si="16"/>
        <v>0</v>
      </c>
      <c r="M31" s="1808"/>
      <c r="N31" s="1811"/>
      <c r="O31" s="1484">
        <f t="shared" si="7"/>
        <v>0</v>
      </c>
      <c r="P31" s="1484">
        <f>IF($M$32&lt;=$M$31,0,"c120(r181&lt;=r170)")</f>
        <v>0</v>
      </c>
      <c r="Q31" s="1484">
        <f t="shared" si="8"/>
        <v>0</v>
      </c>
      <c r="R31" s="1484">
        <f t="shared" si="9"/>
        <v>0</v>
      </c>
      <c r="S31" s="1484">
        <f t="shared" si="10"/>
        <v>0</v>
      </c>
      <c r="T31" s="1484">
        <f t="shared" si="11"/>
        <v>0</v>
      </c>
      <c r="U31" s="1484">
        <f t="shared" si="12"/>
        <v>0</v>
      </c>
      <c r="V31" s="1484">
        <f t="shared" si="13"/>
        <v>0</v>
      </c>
      <c r="W31" s="1484">
        <f t="shared" si="14"/>
        <v>0</v>
      </c>
      <c r="X31" s="1484">
        <f t="shared" si="14"/>
        <v>0</v>
      </c>
    </row>
    <row r="32" spans="1:25">
      <c r="A32" s="1156" t="str">
        <f t="shared" si="1"/>
        <v>F-09.01.1_181</v>
      </c>
      <c r="B32" s="363">
        <v>181</v>
      </c>
      <c r="C32" s="276" t="s">
        <v>696</v>
      </c>
      <c r="D32" s="119" t="s">
        <v>1643</v>
      </c>
      <c r="E32" s="1808"/>
      <c r="F32" s="1808"/>
      <c r="G32" s="1808"/>
      <c r="H32" s="1808"/>
      <c r="I32" s="1808"/>
      <c r="J32" s="1808"/>
      <c r="K32" s="1808"/>
      <c r="L32" s="1808"/>
      <c r="M32" s="1808"/>
      <c r="N32" s="1808"/>
      <c r="O32" s="1484">
        <f t="shared" si="7"/>
        <v>0</v>
      </c>
      <c r="P32" s="665">
        <f>IF($E$32&lt;=$E$31,0,"c10(r181&lt;=170)")</f>
        <v>0</v>
      </c>
      <c r="Q32" s="1484">
        <f t="shared" si="8"/>
        <v>0</v>
      </c>
      <c r="R32" s="1484">
        <f t="shared" si="9"/>
        <v>0</v>
      </c>
      <c r="S32" s="1484">
        <f t="shared" si="10"/>
        <v>0</v>
      </c>
      <c r="T32" s="1484">
        <f t="shared" si="11"/>
        <v>0</v>
      </c>
      <c r="U32" s="1484">
        <f t="shared" si="12"/>
        <v>0</v>
      </c>
      <c r="V32" s="1484">
        <f t="shared" si="13"/>
        <v>0</v>
      </c>
      <c r="W32" s="1484">
        <f t="shared" si="14"/>
        <v>0</v>
      </c>
      <c r="X32" s="1484">
        <f t="shared" si="14"/>
        <v>0</v>
      </c>
      <c r="Y32" s="1484">
        <f t="shared" si="14"/>
        <v>0</v>
      </c>
    </row>
    <row r="33" spans="1:23">
      <c r="A33" s="1156" t="str">
        <f t="shared" si="1"/>
        <v>F-09.01.1_190</v>
      </c>
      <c r="B33" s="363" t="s">
        <v>310</v>
      </c>
      <c r="C33" s="180" t="s">
        <v>99</v>
      </c>
      <c r="D33" s="119" t="s">
        <v>1713</v>
      </c>
      <c r="E33" s="1808"/>
      <c r="F33" s="1808"/>
      <c r="G33" s="1808"/>
      <c r="H33" s="1808"/>
      <c r="I33" s="1808"/>
      <c r="J33" s="1808"/>
      <c r="K33" s="1808"/>
      <c r="L33" s="1808"/>
      <c r="M33" s="1810"/>
      <c r="N33" s="1810"/>
      <c r="O33" s="1484">
        <f t="shared" si="7"/>
        <v>0</v>
      </c>
      <c r="P33" s="660"/>
      <c r="Q33" s="1484">
        <f t="shared" si="8"/>
        <v>0</v>
      </c>
      <c r="R33" s="1484">
        <f t="shared" si="9"/>
        <v>0</v>
      </c>
      <c r="S33" s="1484">
        <f t="shared" si="10"/>
        <v>0</v>
      </c>
      <c r="T33" s="1484">
        <f t="shared" si="11"/>
        <v>0</v>
      </c>
      <c r="U33" s="1484">
        <f t="shared" si="12"/>
        <v>0</v>
      </c>
      <c r="V33" s="1484">
        <f t="shared" si="13"/>
        <v>0</v>
      </c>
      <c r="W33" s="1484">
        <f t="shared" si="14"/>
        <v>0</v>
      </c>
    </row>
    <row r="34" spans="1:23">
      <c r="A34" s="1156" t="str">
        <f t="shared" si="1"/>
        <v>F-09.01.1_200</v>
      </c>
      <c r="B34" s="363" t="s">
        <v>311</v>
      </c>
      <c r="C34" s="180" t="s">
        <v>100</v>
      </c>
      <c r="D34" s="119" t="s">
        <v>1714</v>
      </c>
      <c r="E34" s="1808"/>
      <c r="F34" s="1808"/>
      <c r="G34" s="1808"/>
      <c r="H34" s="1808"/>
      <c r="I34" s="1808"/>
      <c r="J34" s="1808"/>
      <c r="K34" s="1808"/>
      <c r="L34" s="1808"/>
      <c r="M34" s="1810"/>
      <c r="N34" s="1810"/>
      <c r="O34" s="1484">
        <f t="shared" si="7"/>
        <v>0</v>
      </c>
      <c r="P34" s="660"/>
      <c r="Q34" s="1484">
        <f t="shared" si="8"/>
        <v>0</v>
      </c>
      <c r="R34" s="1484">
        <f t="shared" si="9"/>
        <v>0</v>
      </c>
      <c r="S34" s="1484">
        <f t="shared" si="10"/>
        <v>0</v>
      </c>
      <c r="T34" s="1484">
        <f t="shared" si="11"/>
        <v>0</v>
      </c>
      <c r="U34" s="1484">
        <f t="shared" si="12"/>
        <v>0</v>
      </c>
      <c r="V34" s="1484">
        <f t="shared" si="13"/>
        <v>0</v>
      </c>
      <c r="W34" s="1484">
        <f t="shared" si="14"/>
        <v>0</v>
      </c>
    </row>
    <row r="35" spans="1:23">
      <c r="A35" s="1156" t="str">
        <f t="shared" si="1"/>
        <v>F-09.01.1_210</v>
      </c>
      <c r="B35" s="363" t="s">
        <v>312</v>
      </c>
      <c r="C35" s="180" t="s">
        <v>101</v>
      </c>
      <c r="D35" s="119" t="s">
        <v>1709</v>
      </c>
      <c r="E35" s="1808"/>
      <c r="F35" s="1808"/>
      <c r="G35" s="1808"/>
      <c r="H35" s="1808"/>
      <c r="I35" s="1808"/>
      <c r="J35" s="1808"/>
      <c r="K35" s="1808"/>
      <c r="L35" s="1808"/>
      <c r="M35" s="1810"/>
      <c r="N35" s="1810"/>
      <c r="O35" s="1484">
        <f t="shared" si="7"/>
        <v>0</v>
      </c>
      <c r="P35" s="660"/>
      <c r="Q35" s="1484">
        <f t="shared" si="8"/>
        <v>0</v>
      </c>
      <c r="R35" s="1484">
        <f t="shared" si="9"/>
        <v>0</v>
      </c>
      <c r="S35" s="1484">
        <f t="shared" si="10"/>
        <v>0</v>
      </c>
      <c r="T35" s="1484">
        <f t="shared" si="11"/>
        <v>0</v>
      </c>
      <c r="U35" s="1484">
        <f t="shared" si="12"/>
        <v>0</v>
      </c>
      <c r="V35" s="1484">
        <f t="shared" si="13"/>
        <v>0</v>
      </c>
      <c r="W35" s="1484">
        <f t="shared" si="14"/>
        <v>0</v>
      </c>
    </row>
    <row r="36" spans="1:23">
      <c r="A36" s="1156" t="str">
        <f t="shared" si="1"/>
        <v>F-09.01.1_220</v>
      </c>
      <c r="B36" s="363">
        <v>220</v>
      </c>
      <c r="C36" s="180" t="s">
        <v>102</v>
      </c>
      <c r="D36" s="294" t="s">
        <v>1710</v>
      </c>
      <c r="E36" s="1808"/>
      <c r="F36" s="1808"/>
      <c r="G36" s="1808"/>
      <c r="H36" s="1808"/>
      <c r="I36" s="1808"/>
      <c r="J36" s="1808"/>
      <c r="K36" s="1808"/>
      <c r="L36" s="1808"/>
      <c r="M36" s="1810"/>
      <c r="N36" s="1810"/>
      <c r="O36" s="1484">
        <f t="shared" si="7"/>
        <v>0</v>
      </c>
      <c r="P36" s="660"/>
      <c r="Q36" s="1484">
        <f t="shared" si="8"/>
        <v>0</v>
      </c>
      <c r="R36" s="1484">
        <f t="shared" si="9"/>
        <v>0</v>
      </c>
      <c r="S36" s="1484">
        <f t="shared" si="10"/>
        <v>0</v>
      </c>
      <c r="T36" s="1484">
        <f t="shared" si="11"/>
        <v>0</v>
      </c>
      <c r="U36" s="1484">
        <f t="shared" si="12"/>
        <v>0</v>
      </c>
      <c r="V36" s="1484">
        <f t="shared" si="13"/>
        <v>0</v>
      </c>
      <c r="W36" s="1484">
        <f t="shared" si="14"/>
        <v>0</v>
      </c>
    </row>
    <row r="37" spans="1:23">
      <c r="A37" s="1156" t="str">
        <f t="shared" si="1"/>
        <v>F-09.01.1_230</v>
      </c>
      <c r="B37" s="364">
        <v>230</v>
      </c>
      <c r="C37" s="42" t="s">
        <v>127</v>
      </c>
      <c r="D37" s="294" t="s">
        <v>1711</v>
      </c>
      <c r="E37" s="1808"/>
      <c r="F37" s="1808"/>
      <c r="G37" s="1808"/>
      <c r="H37" s="1808"/>
      <c r="I37" s="1808"/>
      <c r="J37" s="1808"/>
      <c r="K37" s="1808"/>
      <c r="L37" s="1808"/>
      <c r="M37" s="1810"/>
      <c r="N37" s="1810"/>
      <c r="O37" s="1484">
        <f t="shared" si="7"/>
        <v>0</v>
      </c>
      <c r="P37" s="660"/>
      <c r="Q37" s="1484">
        <f t="shared" si="8"/>
        <v>0</v>
      </c>
      <c r="R37" s="1484">
        <f t="shared" si="9"/>
        <v>0</v>
      </c>
      <c r="S37" s="1484">
        <f t="shared" si="10"/>
        <v>0</v>
      </c>
      <c r="T37" s="1484">
        <f t="shared" si="11"/>
        <v>0</v>
      </c>
      <c r="U37" s="1484">
        <f t="shared" si="12"/>
        <v>0</v>
      </c>
      <c r="V37" s="1484">
        <f t="shared" si="13"/>
        <v>0</v>
      </c>
      <c r="W37" s="1484">
        <f t="shared" si="14"/>
        <v>0</v>
      </c>
    </row>
    <row r="38" spans="1:23">
      <c r="A38" s="1156" t="str">
        <f t="shared" si="1"/>
        <v>F-09.01.1_240</v>
      </c>
      <c r="B38" s="363">
        <v>240</v>
      </c>
      <c r="C38" s="267" t="s">
        <v>128</v>
      </c>
      <c r="D38" s="295" t="s">
        <v>1717</v>
      </c>
      <c r="E38" s="1808"/>
      <c r="F38" s="1808"/>
      <c r="G38" s="1808"/>
      <c r="H38" s="1808"/>
      <c r="I38" s="1808"/>
      <c r="J38" s="1808"/>
      <c r="K38" s="1808"/>
      <c r="L38" s="1808"/>
      <c r="M38" s="1812"/>
      <c r="N38" s="1812"/>
      <c r="O38" s="1484">
        <f t="shared" si="7"/>
        <v>0</v>
      </c>
      <c r="P38" s="660"/>
      <c r="Q38" s="1484">
        <f t="shared" si="8"/>
        <v>0</v>
      </c>
      <c r="R38" s="1484">
        <f t="shared" si="9"/>
        <v>0</v>
      </c>
      <c r="S38" s="1484">
        <f t="shared" si="10"/>
        <v>0</v>
      </c>
      <c r="T38" s="1484">
        <f t="shared" si="11"/>
        <v>0</v>
      </c>
      <c r="U38" s="1484">
        <f t="shared" si="12"/>
        <v>0</v>
      </c>
      <c r="V38" s="1484">
        <f t="shared" si="13"/>
        <v>0</v>
      </c>
      <c r="W38" s="1484">
        <f t="shared" si="14"/>
        <v>0</v>
      </c>
    </row>
    <row r="39" spans="1:23" ht="12.75" customHeight="1">
      <c r="A39" s="1100" t="s">
        <v>718</v>
      </c>
      <c r="B39" s="183"/>
      <c r="D39" s="2039"/>
      <c r="E39" s="2039"/>
      <c r="F39" s="2039"/>
      <c r="G39" s="2039"/>
      <c r="H39" s="2039"/>
      <c r="I39" s="2039"/>
      <c r="J39" s="2039"/>
      <c r="K39" s="2039"/>
      <c r="L39" s="2039"/>
      <c r="M39" s="2039"/>
      <c r="N39" s="2039"/>
      <c r="O39" s="2039"/>
    </row>
    <row r="40" spans="1:23" ht="15" customHeight="1">
      <c r="A40" s="1156" t="s">
        <v>724</v>
      </c>
      <c r="B40" s="184"/>
      <c r="D40" s="2039"/>
      <c r="E40" s="2039"/>
      <c r="F40" s="2039"/>
      <c r="G40" s="2039"/>
      <c r="H40" s="2039"/>
      <c r="I40" s="2039"/>
      <c r="J40" s="2039"/>
      <c r="K40" s="2039"/>
      <c r="L40" s="2039"/>
      <c r="M40" s="2039"/>
      <c r="N40" s="2039"/>
      <c r="O40" s="2039"/>
    </row>
    <row r="41" spans="1:23" s="1097" customFormat="1" ht="18" hidden="1" customHeight="1">
      <c r="A41" s="1096" t="s">
        <v>1240</v>
      </c>
      <c r="B41" s="1118">
        <v>2</v>
      </c>
      <c r="C41" s="1118">
        <v>1</v>
      </c>
      <c r="D41" s="1119">
        <v>12</v>
      </c>
      <c r="E41" s="1182">
        <v>5</v>
      </c>
      <c r="F41" s="1120">
        <v>3</v>
      </c>
      <c r="G41" s="1121">
        <v>4</v>
      </c>
      <c r="H41" s="1122">
        <v>4</v>
      </c>
      <c r="I41" s="1122">
        <v>4</v>
      </c>
      <c r="J41" s="1123">
        <v>4</v>
      </c>
      <c r="K41" s="1123">
        <v>5</v>
      </c>
      <c r="L41" s="1124">
        <v>4</v>
      </c>
      <c r="M41" s="1124">
        <v>6</v>
      </c>
      <c r="N41" s="1125">
        <v>4</v>
      </c>
      <c r="O41" s="1125">
        <v>7</v>
      </c>
    </row>
    <row r="42" spans="1:23" s="1097" customFormat="1" ht="18" hidden="1" customHeight="1">
      <c r="A42" s="1096" t="str">
        <f>Index!$A$2</f>
        <v>V20181222</v>
      </c>
      <c r="B42" s="1098"/>
      <c r="C42" s="1099"/>
      <c r="D42" s="1100"/>
      <c r="E42" s="1100" t="str">
        <f>$A$41&amp;"_"&amp;E51</f>
        <v>F-09.02_010</v>
      </c>
      <c r="F42" s="1100" t="str">
        <f>$A$41&amp;"_"&amp;F51</f>
        <v>F-09.02_020</v>
      </c>
      <c r="G42" s="1100"/>
      <c r="H42" s="1100"/>
      <c r="I42" s="1100"/>
      <c r="J42" s="1100"/>
      <c r="K42" s="1100"/>
      <c r="L42" s="1100"/>
      <c r="M42" s="1100"/>
      <c r="N42" s="1100"/>
      <c r="O42" s="1100"/>
      <c r="P42" s="1100"/>
      <c r="Q42" s="1100"/>
      <c r="R42" s="1100"/>
      <c r="S42" s="1100"/>
      <c r="T42" s="1100"/>
      <c r="U42" s="1100"/>
      <c r="V42" s="1100"/>
      <c r="W42" s="1101"/>
    </row>
    <row r="43" spans="1:23" s="1097" customFormat="1" ht="18" hidden="1" customHeight="1">
      <c r="A43" s="1096" t="str">
        <f>"R:A1:P"&amp;ROW(A121)+1</f>
        <v>R:A1:P122</v>
      </c>
      <c r="B43" s="1102"/>
      <c r="C43" s="1103"/>
      <c r="D43" s="1104"/>
      <c r="E43" s="1105"/>
      <c r="F43" s="1105"/>
      <c r="G43" s="1105"/>
      <c r="H43" s="1105"/>
      <c r="I43" s="1105"/>
      <c r="J43" s="1105"/>
      <c r="K43" s="1105"/>
      <c r="L43" s="1105"/>
      <c r="M43" s="1105"/>
      <c r="N43" s="1105"/>
      <c r="O43" s="1106"/>
      <c r="P43" s="1107"/>
      <c r="Q43" s="1107"/>
      <c r="R43" s="1107"/>
      <c r="S43" s="1107"/>
      <c r="T43" s="1107"/>
    </row>
    <row r="44" spans="1:23" s="1097" customFormat="1" ht="18" hidden="1" customHeight="1">
      <c r="A44" s="1100" t="s">
        <v>718</v>
      </c>
      <c r="B44" s="1102"/>
      <c r="C44" s="1103"/>
      <c r="D44" s="1108"/>
      <c r="E44" s="1109"/>
      <c r="F44" s="1110"/>
      <c r="G44" s="1111">
        <f>W45</f>
        <v>0</v>
      </c>
      <c r="H44" s="1107"/>
      <c r="I44" s="1107"/>
      <c r="J44" s="1107"/>
      <c r="K44" s="1107"/>
    </row>
    <row r="45" spans="1:23" s="1097" customFormat="1" ht="18" hidden="1" customHeight="1">
      <c r="A45" s="1100" t="s">
        <v>718</v>
      </c>
      <c r="B45" s="1102"/>
      <c r="C45" s="1103"/>
      <c r="D45" s="1112"/>
      <c r="E45" s="1113"/>
      <c r="F45" s="1113"/>
      <c r="G45" s="1113"/>
      <c r="H45" s="1113"/>
      <c r="I45" s="1113"/>
      <c r="J45" s="1113"/>
      <c r="K45" s="1113"/>
      <c r="L45" s="1113"/>
      <c r="M45" s="1113"/>
      <c r="N45" s="1113"/>
      <c r="O45" s="1114"/>
      <c r="W45" s="1097">
        <f>COUNTIF(G52:I72,"&lt;&gt;0")-COUNTBLANK(G52:I72)+COUNTIF(E73:O73,"&lt;&gt;0")-COUNTBLANK(E73:O73)</f>
        <v>0</v>
      </c>
    </row>
    <row r="46" spans="1:23" s="1116" customFormat="1">
      <c r="A46" s="1100" t="s">
        <v>718</v>
      </c>
      <c r="B46" s="1115"/>
    </row>
    <row r="47" spans="1:23" ht="24" customHeight="1">
      <c r="A47" s="1100" t="s">
        <v>718</v>
      </c>
      <c r="B47" s="1" t="s">
        <v>568</v>
      </c>
      <c r="D47" s="661"/>
      <c r="E47" s="2041"/>
      <c r="F47" s="2041"/>
      <c r="G47" s="2041"/>
      <c r="H47" s="2041"/>
      <c r="I47" s="2041"/>
      <c r="J47" s="2041"/>
      <c r="K47" s="2041"/>
      <c r="L47" s="2041"/>
      <c r="M47" s="2041"/>
      <c r="N47" s="2041"/>
      <c r="O47" s="2041"/>
    </row>
    <row r="48" spans="1:23">
      <c r="A48" s="1100" t="s">
        <v>718</v>
      </c>
      <c r="B48" s="184"/>
    </row>
    <row r="49" spans="1:8" ht="52.5">
      <c r="A49" s="1100" t="s">
        <v>718</v>
      </c>
      <c r="B49" s="459"/>
      <c r="C49" s="2037"/>
      <c r="D49" s="396"/>
      <c r="E49" s="357" t="s">
        <v>549</v>
      </c>
      <c r="F49" s="357" t="s">
        <v>422</v>
      </c>
    </row>
    <row r="50" spans="1:8" ht="31.5">
      <c r="A50" s="1100" t="s">
        <v>718</v>
      </c>
      <c r="B50" s="460"/>
      <c r="C50" s="2038"/>
      <c r="D50" s="398" t="s">
        <v>551</v>
      </c>
      <c r="E50" s="399" t="s">
        <v>1936</v>
      </c>
      <c r="F50" s="399" t="s">
        <v>1937</v>
      </c>
    </row>
    <row r="51" spans="1:8">
      <c r="A51" s="1100" t="s">
        <v>718</v>
      </c>
      <c r="B51" s="461"/>
      <c r="C51" s="458"/>
      <c r="D51" s="400"/>
      <c r="E51" s="462" t="s">
        <v>292</v>
      </c>
      <c r="F51" s="462" t="s">
        <v>293</v>
      </c>
    </row>
    <row r="52" spans="1:8" ht="31.5">
      <c r="A52" s="1156" t="str">
        <f>$A$41&amp;"_"&amp;B52</f>
        <v>F-09.02_010</v>
      </c>
      <c r="B52" s="386" t="s">
        <v>292</v>
      </c>
      <c r="C52" s="181" t="s">
        <v>136</v>
      </c>
      <c r="D52" s="1578" t="s">
        <v>1933</v>
      </c>
      <c r="E52" s="698"/>
      <c r="F52" s="699">
        <f>SUM($F$53:$F$58)</f>
        <v>0</v>
      </c>
      <c r="G52" s="665">
        <f>IF($F$52&gt;=0,0,"F9.2,C20&gt;=0")</f>
        <v>0</v>
      </c>
    </row>
    <row r="53" spans="1:8">
      <c r="A53" s="1156" t="str">
        <f t="shared" ref="A53:A72" si="17">$A$41&amp;"_"&amp;B53</f>
        <v>F-09.02_020</v>
      </c>
      <c r="B53" s="363" t="s">
        <v>293</v>
      </c>
      <c r="C53" s="180" t="s">
        <v>99</v>
      </c>
      <c r="D53" s="119" t="s">
        <v>1713</v>
      </c>
      <c r="E53" s="700"/>
      <c r="F53" s="903"/>
      <c r="G53" s="665">
        <f>IF($F$53&gt;=0,0,"F9.2&gt;=0")</f>
        <v>0</v>
      </c>
    </row>
    <row r="54" spans="1:8">
      <c r="A54" s="1156" t="str">
        <f t="shared" si="17"/>
        <v>F-09.02_030</v>
      </c>
      <c r="B54" s="363" t="s">
        <v>294</v>
      </c>
      <c r="C54" s="180" t="s">
        <v>100</v>
      </c>
      <c r="D54" s="119" t="s">
        <v>1714</v>
      </c>
      <c r="E54" s="700"/>
      <c r="F54" s="903"/>
      <c r="G54" s="665">
        <f>IF($F$54&gt;=0,0,"F9.2&gt;=0")</f>
        <v>0</v>
      </c>
    </row>
    <row r="55" spans="1:8">
      <c r="A55" s="1156" t="str">
        <f t="shared" si="17"/>
        <v>F-09.02_040</v>
      </c>
      <c r="B55" s="363" t="s">
        <v>295</v>
      </c>
      <c r="C55" s="180" t="s">
        <v>101</v>
      </c>
      <c r="D55" s="119" t="s">
        <v>1709</v>
      </c>
      <c r="E55" s="700"/>
      <c r="F55" s="903"/>
      <c r="G55" s="665">
        <f>IF($F$55&gt;=0,0,"F9.2&gt;=0")</f>
        <v>0</v>
      </c>
    </row>
    <row r="56" spans="1:8">
      <c r="A56" s="1156" t="str">
        <f t="shared" si="17"/>
        <v>F-09.02_050</v>
      </c>
      <c r="B56" s="363" t="s">
        <v>296</v>
      </c>
      <c r="C56" s="180" t="s">
        <v>102</v>
      </c>
      <c r="D56" s="119" t="s">
        <v>1710</v>
      </c>
      <c r="E56" s="700"/>
      <c r="F56" s="903"/>
      <c r="G56" s="665">
        <f>IF($F$56&gt;=0,0,"F9.2&gt;=0")</f>
        <v>0</v>
      </c>
    </row>
    <row r="57" spans="1:8">
      <c r="A57" s="1156" t="str">
        <f t="shared" si="17"/>
        <v>F-09.02_060</v>
      </c>
      <c r="B57" s="363" t="s">
        <v>297</v>
      </c>
      <c r="C57" s="180" t="s">
        <v>127</v>
      </c>
      <c r="D57" s="119" t="s">
        <v>1711</v>
      </c>
      <c r="E57" s="700"/>
      <c r="F57" s="903"/>
      <c r="G57" s="665">
        <f>IF($F$57&gt;=0,0,"F9.2&gt;=0")</f>
        <v>0</v>
      </c>
    </row>
    <row r="58" spans="1:8">
      <c r="A58" s="1156" t="str">
        <f t="shared" si="17"/>
        <v>F-09.02_070</v>
      </c>
      <c r="B58" s="363" t="s">
        <v>298</v>
      </c>
      <c r="C58" s="233" t="s">
        <v>128</v>
      </c>
      <c r="D58" s="1295" t="s">
        <v>1717</v>
      </c>
      <c r="E58" s="701"/>
      <c r="F58" s="904"/>
      <c r="G58" s="665">
        <f>IF($F$58&gt;=0,0,"F9.2&gt;=0")</f>
        <v>0</v>
      </c>
    </row>
    <row r="59" spans="1:8" ht="42">
      <c r="A59" s="1156" t="str">
        <f t="shared" si="17"/>
        <v>F-09.02_080</v>
      </c>
      <c r="B59" s="363" t="s">
        <v>299</v>
      </c>
      <c r="C59" s="4" t="s">
        <v>368</v>
      </c>
      <c r="D59" s="1579" t="s">
        <v>1934</v>
      </c>
      <c r="E59" s="697">
        <f>SUM($E$60:$E$65)</f>
        <v>0</v>
      </c>
      <c r="F59" s="700"/>
      <c r="G59" s="665">
        <f>IF($E$59&gt;=0,0,"F9.2,C10&gt;=0")</f>
        <v>0</v>
      </c>
      <c r="H59" s="623">
        <f>IF($E$59&gt;='13'!$I$16,0,"(F9.2,r80,c10)&gt;=(F13.1,r10,c50)")</f>
        <v>0</v>
      </c>
    </row>
    <row r="60" spans="1:8">
      <c r="A60" s="1156" t="str">
        <f t="shared" si="17"/>
        <v>F-09.02_090</v>
      </c>
      <c r="B60" s="363" t="s">
        <v>300</v>
      </c>
      <c r="C60" s="180" t="s">
        <v>99</v>
      </c>
      <c r="D60" s="119" t="s">
        <v>1713</v>
      </c>
      <c r="E60" s="903"/>
      <c r="F60" s="700"/>
      <c r="G60" s="665">
        <f>IF($E$60&gt;=0,0,"F9.2,C10&gt;=0")</f>
        <v>0</v>
      </c>
    </row>
    <row r="61" spans="1:8">
      <c r="A61" s="1156" t="str">
        <f t="shared" si="17"/>
        <v>F-09.02_100</v>
      </c>
      <c r="B61" s="363" t="s">
        <v>301</v>
      </c>
      <c r="C61" s="180" t="s">
        <v>100</v>
      </c>
      <c r="D61" s="119" t="s">
        <v>1714</v>
      </c>
      <c r="E61" s="903"/>
      <c r="F61" s="700"/>
      <c r="G61" s="665">
        <f>IF($E$61&gt;=0,0,"F9.2,C10&gt;=0")</f>
        <v>0</v>
      </c>
    </row>
    <row r="62" spans="1:8">
      <c r="A62" s="1156" t="str">
        <f t="shared" si="17"/>
        <v>F-09.02_110</v>
      </c>
      <c r="B62" s="363" t="s">
        <v>302</v>
      </c>
      <c r="C62" s="180" t="s">
        <v>101</v>
      </c>
      <c r="D62" s="119" t="s">
        <v>1709</v>
      </c>
      <c r="E62" s="903"/>
      <c r="F62" s="700"/>
      <c r="G62" s="665">
        <f>IF($E$62&gt;=0,0,"F9.2,C10&gt;=0")</f>
        <v>0</v>
      </c>
    </row>
    <row r="63" spans="1:8">
      <c r="A63" s="1156" t="str">
        <f t="shared" si="17"/>
        <v>F-09.02_120</v>
      </c>
      <c r="B63" s="363" t="s">
        <v>303</v>
      </c>
      <c r="C63" s="180" t="s">
        <v>102</v>
      </c>
      <c r="D63" s="119" t="s">
        <v>1710</v>
      </c>
      <c r="E63" s="903"/>
      <c r="F63" s="700"/>
      <c r="G63" s="665">
        <f>IF($E$63&gt;=0,0,"F9.2,C10&gt;=0")</f>
        <v>0</v>
      </c>
    </row>
    <row r="64" spans="1:8">
      <c r="A64" s="1156" t="str">
        <f t="shared" si="17"/>
        <v>F-09.02_130</v>
      </c>
      <c r="B64" s="363" t="s">
        <v>304</v>
      </c>
      <c r="C64" s="42" t="s">
        <v>127</v>
      </c>
      <c r="D64" s="119" t="s">
        <v>1711</v>
      </c>
      <c r="E64" s="903"/>
      <c r="F64" s="700"/>
      <c r="G64" s="665">
        <f>IF($E$64&gt;=0,0,"F9.2,C10&gt;=0")</f>
        <v>0</v>
      </c>
    </row>
    <row r="65" spans="1:15">
      <c r="A65" s="1156" t="str">
        <f t="shared" si="17"/>
        <v>F-09.02_140</v>
      </c>
      <c r="B65" s="363" t="s">
        <v>305</v>
      </c>
      <c r="C65" s="180" t="s">
        <v>128</v>
      </c>
      <c r="D65" s="1295" t="s">
        <v>1717</v>
      </c>
      <c r="E65" s="904"/>
      <c r="F65" s="701"/>
      <c r="G65" s="665">
        <f>IF($E$65&gt;=0,0,"F9.2,C10&gt;=0")</f>
        <v>0</v>
      </c>
    </row>
    <row r="66" spans="1:15" ht="21">
      <c r="A66" s="1156" t="str">
        <f t="shared" si="17"/>
        <v>F-09.02_150</v>
      </c>
      <c r="B66" s="363" t="s">
        <v>306</v>
      </c>
      <c r="C66" s="4" t="s">
        <v>470</v>
      </c>
      <c r="D66" s="1580" t="s">
        <v>1935</v>
      </c>
      <c r="E66" s="700"/>
      <c r="F66" s="697">
        <f>SUM($F$67:$F$72)</f>
        <v>0</v>
      </c>
      <c r="G66" s="665">
        <f>IF($F$66&gt;=0,0,"F9.2&gt;=0")</f>
        <v>0</v>
      </c>
    </row>
    <row r="67" spans="1:15">
      <c r="A67" s="1156" t="str">
        <f t="shared" si="17"/>
        <v>F-09.02_160</v>
      </c>
      <c r="B67" s="363" t="s">
        <v>307</v>
      </c>
      <c r="C67" s="180" t="s">
        <v>99</v>
      </c>
      <c r="D67" s="119" t="s">
        <v>1713</v>
      </c>
      <c r="E67" s="700"/>
      <c r="F67" s="903"/>
      <c r="G67" s="665">
        <f>IF($F$67&gt;=0,0,"F9.2&gt;=0")</f>
        <v>0</v>
      </c>
    </row>
    <row r="68" spans="1:15">
      <c r="A68" s="1156" t="str">
        <f t="shared" si="17"/>
        <v>F-09.02_170</v>
      </c>
      <c r="B68" s="363" t="s">
        <v>308</v>
      </c>
      <c r="C68" s="180" t="s">
        <v>100</v>
      </c>
      <c r="D68" s="119" t="s">
        <v>1714</v>
      </c>
      <c r="E68" s="700"/>
      <c r="F68" s="903"/>
      <c r="G68" s="665">
        <f>IF($F$68&gt;=0,0,"F9.2&gt;=0")</f>
        <v>0</v>
      </c>
    </row>
    <row r="69" spans="1:15">
      <c r="A69" s="1156" t="str">
        <f t="shared" si="17"/>
        <v>F-09.02_180</v>
      </c>
      <c r="B69" s="363" t="s">
        <v>309</v>
      </c>
      <c r="C69" s="180" t="s">
        <v>101</v>
      </c>
      <c r="D69" s="119" t="s">
        <v>1709</v>
      </c>
      <c r="E69" s="700"/>
      <c r="F69" s="903"/>
      <c r="G69" s="665">
        <f>IF($F$69&gt;=0,0,"F9.2&gt;=0")</f>
        <v>0</v>
      </c>
    </row>
    <row r="70" spans="1:15">
      <c r="A70" s="1156" t="str">
        <f t="shared" si="17"/>
        <v>F-09.02_190</v>
      </c>
      <c r="B70" s="363" t="s">
        <v>310</v>
      </c>
      <c r="C70" s="180" t="s">
        <v>102</v>
      </c>
      <c r="D70" s="119" t="s">
        <v>1710</v>
      </c>
      <c r="E70" s="700"/>
      <c r="F70" s="903"/>
      <c r="G70" s="665">
        <f>IF($F$70&gt;=0,0,"F9.2&gt;=0")</f>
        <v>0</v>
      </c>
    </row>
    <row r="71" spans="1:15">
      <c r="A71" s="1156" t="str">
        <f t="shared" si="17"/>
        <v>F-09.02_200</v>
      </c>
      <c r="B71" s="363" t="s">
        <v>311</v>
      </c>
      <c r="C71" s="165" t="s">
        <v>127</v>
      </c>
      <c r="D71" s="119" t="s">
        <v>1711</v>
      </c>
      <c r="E71" s="700"/>
      <c r="F71" s="903"/>
      <c r="G71" s="665">
        <f>IF($F$71&gt;=0,0,"F9.2&gt;=0")</f>
        <v>0</v>
      </c>
    </row>
    <row r="72" spans="1:15">
      <c r="A72" s="1156" t="str">
        <f t="shared" si="17"/>
        <v>F-09.02_210</v>
      </c>
      <c r="B72" s="378" t="s">
        <v>312</v>
      </c>
      <c r="C72" s="182" t="s">
        <v>128</v>
      </c>
      <c r="D72" s="1295" t="s">
        <v>1717</v>
      </c>
      <c r="E72" s="702"/>
      <c r="F72" s="905"/>
      <c r="G72" s="665">
        <f>IF($F$72&gt;=0,0,"F9.2&gt;=0")</f>
        <v>0</v>
      </c>
    </row>
    <row r="73" spans="1:15" ht="12.75" customHeight="1">
      <c r="A73" s="1100" t="s">
        <v>718</v>
      </c>
      <c r="D73" s="2040"/>
      <c r="E73" s="2040"/>
      <c r="F73" s="2040"/>
      <c r="G73" s="2040"/>
      <c r="H73" s="2040"/>
      <c r="I73" s="2040"/>
      <c r="J73" s="2040"/>
      <c r="K73" s="2040"/>
      <c r="L73" s="2040"/>
      <c r="M73" s="2040"/>
      <c r="N73" s="2040"/>
      <c r="O73" s="2040"/>
    </row>
    <row r="74" spans="1:15">
      <c r="A74" s="1100" t="s">
        <v>718</v>
      </c>
    </row>
    <row r="75" spans="1:15">
      <c r="A75" s="1100" t="s">
        <v>718</v>
      </c>
    </row>
    <row r="76" spans="1:15">
      <c r="A76" s="1100" t="s">
        <v>718</v>
      </c>
    </row>
    <row r="77" spans="1:15">
      <c r="A77" s="1100" t="s">
        <v>718</v>
      </c>
    </row>
    <row r="78" spans="1:15">
      <c r="A78" s="1100" t="s">
        <v>718</v>
      </c>
    </row>
    <row r="79" spans="1:15">
      <c r="A79" s="1100" t="s">
        <v>718</v>
      </c>
    </row>
    <row r="80" spans="1:15">
      <c r="A80" s="1100" t="s">
        <v>718</v>
      </c>
    </row>
    <row r="81" spans="1:1">
      <c r="A81" s="1100" t="s">
        <v>718</v>
      </c>
    </row>
    <row r="82" spans="1:1">
      <c r="A82" s="1156" t="s">
        <v>724</v>
      </c>
    </row>
  </sheetData>
  <sheetProtection password="C2F4" sheet="1" objects="1" scenarios="1"/>
  <mergeCells count="10">
    <mergeCell ref="C11:C13"/>
    <mergeCell ref="C49:C50"/>
    <mergeCell ref="D39:O39"/>
    <mergeCell ref="D40:O40"/>
    <mergeCell ref="D73:O73"/>
    <mergeCell ref="E47:O47"/>
    <mergeCell ref="E11:G11"/>
    <mergeCell ref="H11:J11"/>
    <mergeCell ref="K11:L11"/>
    <mergeCell ref="M11:N11"/>
  </mergeCells>
  <dataValidations count="1">
    <dataValidation type="whole" allowBlank="1" showInputMessage="1" showErrorMessage="1" error="wrong number format or sign" sqref="F66:F72 N32:N38 F52:F58 E59:E65 M23:M38 E16:L22 M15:N22 E24:L30 N24:N30 E32:L38">
      <formula1>0</formula1>
      <formula2>99999999</formula2>
    </dataValidation>
  </dataValidations>
  <printOptions horizontalCentered="1" headings="1" gridLines="1"/>
  <pageMargins left="0.23622047244094491" right="0.23622047244094491" top="0.31" bottom="0.27" header="0.17" footer="0.17"/>
  <pageSetup paperSize="9" scale="43" orientation="landscape" cellComments="asDisplayed" r:id="rId1"/>
  <headerFooter scaleWithDoc="0" alignWithMargins="0"/>
  <rowBreaks count="1" manualBreakCount="1">
    <brk id="72" max="16" man="1"/>
  </rowBreaks>
  <ignoredErrors>
    <ignoredError sqref="B15 F51 B52:B72 B33:B37 B17:B23 B25:B31 E51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O84"/>
  <sheetViews>
    <sheetView topLeftCell="B6" zoomScaleNormal="100" zoomScaleSheetLayoutView="100" workbookViewId="0">
      <selection activeCell="B6" sqref="B6"/>
    </sheetView>
  </sheetViews>
  <sheetFormatPr defaultColWidth="9.140625" defaultRowHeight="12.75"/>
  <cols>
    <col min="1" max="1" width="13.5703125" style="1156" hidden="1" customWidth="1"/>
    <col min="2" max="2" width="4.7109375" style="197" customWidth="1"/>
    <col min="3" max="3" width="37.85546875" style="197" customWidth="1"/>
    <col min="4" max="4" width="25.28515625" style="197" customWidth="1"/>
    <col min="5" max="8" width="14.28515625" style="197" customWidth="1"/>
    <col min="9" max="9" width="26.28515625" style="197" customWidth="1"/>
    <col min="10" max="10" width="26.140625" style="197" customWidth="1"/>
    <col min="11" max="11" width="26" style="197" customWidth="1"/>
    <col min="12" max="12" width="18.140625" style="197" bestFit="1" customWidth="1"/>
    <col min="13" max="16384" width="9.140625" style="197"/>
  </cols>
  <sheetData>
    <row r="1" spans="1:15" s="1097" customFormat="1" ht="18" hidden="1" customHeight="1">
      <c r="A1" s="1096" t="s">
        <v>1241</v>
      </c>
      <c r="B1" s="1118">
        <v>2</v>
      </c>
      <c r="C1" s="1118">
        <v>1</v>
      </c>
      <c r="D1" s="1119">
        <v>13</v>
      </c>
      <c r="E1" s="1182">
        <v>5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15" s="1097" customFormat="1" ht="18" hidden="1" customHeight="1">
      <c r="A2" s="1096" t="str">
        <f>Index!$A$2</f>
        <v>V20181222</v>
      </c>
      <c r="B2" s="1098"/>
      <c r="C2" s="1099"/>
      <c r="D2" s="1100"/>
      <c r="E2" s="1100" t="str">
        <f>$A$1&amp;"_"&amp;E13</f>
        <v>F-10.00_010</v>
      </c>
      <c r="F2" s="1100" t="str">
        <f>$A$1&amp;"_"&amp;F13</f>
        <v>F-10.00_020</v>
      </c>
      <c r="G2" s="1100" t="str">
        <f>$A$1&amp;"_"&amp;G13</f>
        <v>F-10.00_030</v>
      </c>
      <c r="H2" s="1100" t="str">
        <f>$A$1&amp;"_"&amp;H13</f>
        <v>F-10.00_040</v>
      </c>
      <c r="I2" s="1100"/>
      <c r="J2" s="1100"/>
      <c r="K2" s="1100"/>
      <c r="L2" s="1100"/>
      <c r="M2" s="1100"/>
      <c r="N2" s="1101"/>
    </row>
    <row r="3" spans="1:15" s="1097" customFormat="1" ht="18" hidden="1" customHeight="1">
      <c r="A3" s="1096" t="str">
        <f>"R:A1:P"&amp;ROW(A84)+1</f>
        <v>R:A1:P85</v>
      </c>
      <c r="B3" s="1102"/>
      <c r="C3" s="1103"/>
      <c r="D3" s="1104"/>
      <c r="E3" s="1105"/>
      <c r="F3" s="1106"/>
      <c r="G3" s="1107"/>
      <c r="H3" s="1107"/>
      <c r="I3" s="1107"/>
      <c r="J3" s="1107"/>
      <c r="K3" s="1107"/>
    </row>
    <row r="4" spans="1:15" s="1097" customFormat="1" ht="18" hidden="1" customHeight="1">
      <c r="A4" s="1096"/>
      <c r="B4" s="1102"/>
      <c r="C4" s="1103"/>
      <c r="D4" s="1108"/>
      <c r="E4" s="1109"/>
      <c r="F4" s="1110"/>
      <c r="G4" s="1111">
        <f>N5</f>
        <v>0</v>
      </c>
      <c r="H4" s="1107"/>
      <c r="I4" s="1107"/>
      <c r="J4" s="1107"/>
      <c r="K4" s="1107"/>
    </row>
    <row r="5" spans="1:15" s="1097" customFormat="1" ht="18" hidden="1" customHeight="1">
      <c r="A5" s="1096"/>
      <c r="B5" s="1102"/>
      <c r="C5" s="1103"/>
      <c r="D5" s="1112"/>
      <c r="E5" s="1113"/>
      <c r="F5" s="1114"/>
      <c r="N5" s="1097">
        <f>COUNTIF(I13:M46,"&lt;&gt;0")-COUNTBLANK(I13:M46)+COUNTIF(E47:H83,"&lt;&gt;0")-COUNTBLANK(E47:H83)</f>
        <v>0</v>
      </c>
    </row>
    <row r="6" spans="1:15" s="1116" customFormat="1">
      <c r="A6" s="1100" t="s">
        <v>718</v>
      </c>
      <c r="B6" s="1115"/>
    </row>
    <row r="7" spans="1:15">
      <c r="A7" s="1100" t="s">
        <v>718</v>
      </c>
      <c r="B7" s="270" t="s">
        <v>1922</v>
      </c>
      <c r="C7" s="270"/>
      <c r="D7" s="198"/>
      <c r="E7" s="198"/>
      <c r="F7" s="199"/>
      <c r="G7" s="199"/>
    </row>
    <row r="8" spans="1:15">
      <c r="A8" s="1100" t="s">
        <v>718</v>
      </c>
      <c r="C8" s="198"/>
      <c r="D8" s="198"/>
      <c r="E8" s="198"/>
      <c r="F8" s="200"/>
      <c r="G8" s="200"/>
    </row>
    <row r="9" spans="1:15" ht="35.25" customHeight="1">
      <c r="A9" s="1100" t="s">
        <v>718</v>
      </c>
      <c r="B9" s="593"/>
      <c r="C9" s="2049" t="s">
        <v>674</v>
      </c>
      <c r="D9" s="617"/>
      <c r="E9" s="2046" t="s">
        <v>57</v>
      </c>
      <c r="F9" s="2047"/>
      <c r="G9" s="2046" t="s">
        <v>81</v>
      </c>
      <c r="H9" s="2048"/>
    </row>
    <row r="10" spans="1:15" ht="12.75" customHeight="1">
      <c r="A10" s="1100" t="s">
        <v>718</v>
      </c>
      <c r="B10" s="463"/>
      <c r="C10" s="2050"/>
      <c r="D10" s="398"/>
      <c r="E10" s="2051" t="s">
        <v>1923</v>
      </c>
      <c r="F10" s="2051" t="s">
        <v>1924</v>
      </c>
      <c r="G10" s="2053" t="s">
        <v>436</v>
      </c>
      <c r="H10" s="2053" t="s">
        <v>372</v>
      </c>
    </row>
    <row r="11" spans="1:15" ht="30.75" customHeight="1">
      <c r="A11" s="1100" t="s">
        <v>718</v>
      </c>
      <c r="B11" s="463"/>
      <c r="C11" s="464"/>
      <c r="D11" s="398" t="s">
        <v>551</v>
      </c>
      <c r="E11" s="2052"/>
      <c r="F11" s="2052"/>
      <c r="G11" s="2052"/>
      <c r="H11" s="2052"/>
    </row>
    <row r="12" spans="1:15" ht="42">
      <c r="A12" s="1100"/>
      <c r="B12" s="463"/>
      <c r="C12" s="1486"/>
      <c r="D12" s="398"/>
      <c r="E12" s="465" t="s">
        <v>1925</v>
      </c>
      <c r="F12" s="466" t="s">
        <v>1926</v>
      </c>
      <c r="G12" s="465" t="s">
        <v>1618</v>
      </c>
      <c r="H12" s="465" t="s">
        <v>1618</v>
      </c>
    </row>
    <row r="13" spans="1:15">
      <c r="A13" s="1100" t="s">
        <v>718</v>
      </c>
      <c r="B13" s="467"/>
      <c r="C13" s="468"/>
      <c r="D13" s="445"/>
      <c r="E13" s="469" t="s">
        <v>292</v>
      </c>
      <c r="F13" s="470" t="s">
        <v>293</v>
      </c>
      <c r="G13" s="469" t="s">
        <v>294</v>
      </c>
      <c r="H13" s="470" t="s">
        <v>295</v>
      </c>
    </row>
    <row r="14" spans="1:15">
      <c r="A14" s="1156" t="str">
        <f t="shared" ref="A14:A46" si="0">$A$1&amp;"_"&amp;B14</f>
        <v>F-10.00_010</v>
      </c>
      <c r="B14" s="471" t="s">
        <v>292</v>
      </c>
      <c r="C14" s="280" t="s">
        <v>83</v>
      </c>
      <c r="D14" s="288" t="s">
        <v>1873</v>
      </c>
      <c r="E14" s="693">
        <f>SUM($E$16:$E$19)</f>
        <v>0</v>
      </c>
      <c r="F14" s="693">
        <f>SUM($F$16:$F$19)</f>
        <v>0</v>
      </c>
      <c r="G14" s="693">
        <f>SUM($G$16:$G$19)</f>
        <v>0</v>
      </c>
      <c r="H14" s="906"/>
      <c r="I14" s="668">
        <f>IF($E$15&lt;=$E$14,0,"r20,c10&lt;=r10,c10")</f>
        <v>0</v>
      </c>
      <c r="J14" s="668">
        <f>IF($F$15&lt;=$F$14,0,"r20,c20&lt;=r10,c20")</f>
        <v>0</v>
      </c>
      <c r="K14" s="668">
        <f>IF($G$15&lt;=$G$14,0,"r20,c30&lt;=r10,c30")</f>
        <v>0</v>
      </c>
      <c r="L14" s="668">
        <f>IF($H$14&lt;=$G$14,0,"r10,c40&lt;=r10,c30")</f>
        <v>0</v>
      </c>
    </row>
    <row r="15" spans="1:15">
      <c r="A15" s="1156" t="str">
        <f t="shared" si="0"/>
        <v>F-10.00_020</v>
      </c>
      <c r="B15" s="368" t="s">
        <v>293</v>
      </c>
      <c r="C15" s="71" t="s">
        <v>98</v>
      </c>
      <c r="D15" s="289" t="s">
        <v>1931</v>
      </c>
      <c r="E15" s="907"/>
      <c r="F15" s="907"/>
      <c r="G15" s="907"/>
      <c r="H15" s="687"/>
      <c r="I15" s="669"/>
      <c r="J15" s="669"/>
      <c r="K15" s="669"/>
      <c r="L15" s="668"/>
    </row>
    <row r="16" spans="1:15">
      <c r="A16" s="1156" t="str">
        <f t="shared" si="0"/>
        <v>F-10.00_030</v>
      </c>
      <c r="B16" s="471" t="s">
        <v>294</v>
      </c>
      <c r="C16" s="281" t="s">
        <v>84</v>
      </c>
      <c r="D16" s="290" t="s">
        <v>1874</v>
      </c>
      <c r="E16" s="908"/>
      <c r="F16" s="908"/>
      <c r="G16" s="908"/>
      <c r="H16" s="908"/>
      <c r="I16" s="669"/>
      <c r="J16" s="669"/>
      <c r="K16" s="669"/>
      <c r="L16" s="668">
        <f>IF($H$16&lt;=$G$16,0,"r30,c40&lt;=r30,c30")</f>
        <v>0</v>
      </c>
    </row>
    <row r="17" spans="1:12">
      <c r="A17" s="1156" t="str">
        <f t="shared" si="0"/>
        <v>F-10.00_040</v>
      </c>
      <c r="B17" s="368" t="s">
        <v>295</v>
      </c>
      <c r="C17" s="151" t="s">
        <v>85</v>
      </c>
      <c r="D17" s="29" t="s">
        <v>1874</v>
      </c>
      <c r="E17" s="907"/>
      <c r="F17" s="907"/>
      <c r="G17" s="907"/>
      <c r="H17" s="687"/>
      <c r="I17" s="669"/>
      <c r="J17" s="669"/>
      <c r="K17" s="669"/>
      <c r="L17" s="668"/>
    </row>
    <row r="18" spans="1:12">
      <c r="A18" s="1156" t="str">
        <f t="shared" si="0"/>
        <v>F-10.00_050</v>
      </c>
      <c r="B18" s="368" t="s">
        <v>296</v>
      </c>
      <c r="C18" s="151" t="s">
        <v>86</v>
      </c>
      <c r="D18" s="29" t="s">
        <v>1874</v>
      </c>
      <c r="E18" s="907"/>
      <c r="F18" s="907"/>
      <c r="G18" s="907"/>
      <c r="H18" s="907"/>
      <c r="I18" s="669"/>
      <c r="J18" s="669"/>
      <c r="K18" s="669"/>
      <c r="L18" s="668">
        <f>IF($H$18&lt;=$G$18,0,"r50,c40&lt;=r50,c30")</f>
        <v>0</v>
      </c>
    </row>
    <row r="19" spans="1:12">
      <c r="A19" s="1156" t="str">
        <f t="shared" si="0"/>
        <v>F-10.00_060</v>
      </c>
      <c r="B19" s="368" t="s">
        <v>297</v>
      </c>
      <c r="C19" s="151" t="s">
        <v>87</v>
      </c>
      <c r="D19" s="29" t="s">
        <v>1874</v>
      </c>
      <c r="E19" s="907"/>
      <c r="F19" s="907"/>
      <c r="G19" s="907"/>
      <c r="H19" s="687"/>
      <c r="I19" s="669"/>
      <c r="J19" s="669"/>
      <c r="K19" s="669"/>
      <c r="L19" s="668"/>
    </row>
    <row r="20" spans="1:12">
      <c r="A20" s="1156" t="str">
        <f t="shared" si="0"/>
        <v>F-10.00_070</v>
      </c>
      <c r="B20" s="368" t="s">
        <v>298</v>
      </c>
      <c r="C20" s="282" t="s">
        <v>88</v>
      </c>
      <c r="D20" s="289" t="s">
        <v>1875</v>
      </c>
      <c r="E20" s="694">
        <f>SUM($E$22:$E$25)</f>
        <v>0</v>
      </c>
      <c r="F20" s="694">
        <f>SUM($F$22:$F$25)</f>
        <v>0</v>
      </c>
      <c r="G20" s="694">
        <f>SUM($G$22:$G$25)</f>
        <v>0</v>
      </c>
      <c r="H20" s="909"/>
      <c r="I20" s="669"/>
      <c r="J20" s="669"/>
      <c r="K20" s="669"/>
      <c r="L20" s="668">
        <f>IF($H$20&lt;=G20,0,"r70,c40&lt;=r70,c30")</f>
        <v>0</v>
      </c>
    </row>
    <row r="21" spans="1:12">
      <c r="A21" s="1156" t="str">
        <f t="shared" si="0"/>
        <v>F-10.00_080</v>
      </c>
      <c r="B21" s="368" t="s">
        <v>299</v>
      </c>
      <c r="C21" s="71" t="s">
        <v>98</v>
      </c>
      <c r="D21" s="289" t="s">
        <v>1931</v>
      </c>
      <c r="E21" s="907"/>
      <c r="F21" s="907"/>
      <c r="G21" s="907"/>
      <c r="H21" s="687"/>
      <c r="I21" s="668">
        <f>IF($E$21&lt;=$E$20,0,"r80,c10&lt;=r70,c10")</f>
        <v>0</v>
      </c>
      <c r="J21" s="668">
        <f>IF($F$21&lt;=$F$20,0,"r80,c20&lt;=r70,c20")</f>
        <v>0</v>
      </c>
      <c r="K21" s="668">
        <f>IF($G$21&lt;=$G$20,0,"r80,c30&lt;=r70,c30")</f>
        <v>0</v>
      </c>
      <c r="L21" s="668"/>
    </row>
    <row r="22" spans="1:12">
      <c r="A22" s="1156" t="str">
        <f t="shared" si="0"/>
        <v>F-10.00_090</v>
      </c>
      <c r="B22" s="368" t="s">
        <v>300</v>
      </c>
      <c r="C22" s="151" t="s">
        <v>84</v>
      </c>
      <c r="D22" s="289" t="s">
        <v>1874</v>
      </c>
      <c r="E22" s="907"/>
      <c r="F22" s="907"/>
      <c r="G22" s="907"/>
      <c r="H22" s="907"/>
      <c r="I22" s="669"/>
      <c r="J22" s="669"/>
      <c r="K22" s="669"/>
      <c r="L22" s="668">
        <f>IF($H$22&lt;=G22,0,"r90,c40&lt;=r90,c30")</f>
        <v>0</v>
      </c>
    </row>
    <row r="23" spans="1:12">
      <c r="A23" s="1156" t="str">
        <f t="shared" si="0"/>
        <v>F-10.00_100</v>
      </c>
      <c r="B23" s="363">
        <v>100</v>
      </c>
      <c r="C23" s="151" t="s">
        <v>85</v>
      </c>
      <c r="D23" s="29" t="s">
        <v>1874</v>
      </c>
      <c r="E23" s="907"/>
      <c r="F23" s="907"/>
      <c r="G23" s="907"/>
      <c r="H23" s="687"/>
      <c r="I23" s="669"/>
      <c r="J23" s="669"/>
      <c r="K23" s="669"/>
      <c r="L23" s="668"/>
    </row>
    <row r="24" spans="1:12">
      <c r="A24" s="1156" t="str">
        <f t="shared" si="0"/>
        <v>F-10.00_110</v>
      </c>
      <c r="B24" s="363">
        <v>110</v>
      </c>
      <c r="C24" s="151" t="s">
        <v>86</v>
      </c>
      <c r="D24" s="29" t="s">
        <v>1874</v>
      </c>
      <c r="E24" s="907"/>
      <c r="F24" s="907"/>
      <c r="G24" s="907"/>
      <c r="H24" s="907"/>
      <c r="I24" s="669"/>
      <c r="J24" s="669"/>
      <c r="K24" s="669"/>
      <c r="L24" s="668">
        <f>IF($H$24&lt;=G24,0,"r110,c40&lt;=r110,c30")</f>
        <v>0</v>
      </c>
    </row>
    <row r="25" spans="1:12">
      <c r="A25" s="1156" t="str">
        <f t="shared" si="0"/>
        <v>F-10.00_120</v>
      </c>
      <c r="B25" s="363">
        <v>120</v>
      </c>
      <c r="C25" s="151" t="s">
        <v>87</v>
      </c>
      <c r="D25" s="29" t="s">
        <v>1874</v>
      </c>
      <c r="E25" s="907"/>
      <c r="F25" s="907"/>
      <c r="G25" s="907"/>
      <c r="H25" s="687"/>
      <c r="I25" s="669"/>
      <c r="J25" s="669"/>
      <c r="K25" s="669"/>
      <c r="L25" s="668"/>
    </row>
    <row r="26" spans="1:12">
      <c r="A26" s="1156" t="str">
        <f t="shared" si="0"/>
        <v>F-10.00_130</v>
      </c>
      <c r="B26" s="363">
        <v>130</v>
      </c>
      <c r="C26" s="282" t="s">
        <v>406</v>
      </c>
      <c r="D26" s="289" t="s">
        <v>1876</v>
      </c>
      <c r="E26" s="694">
        <f>SUM($E$28:$E$31)</f>
        <v>0</v>
      </c>
      <c r="F26" s="694">
        <f>SUM($F$28:$F$31)</f>
        <v>0</v>
      </c>
      <c r="G26" s="694">
        <f>SUM($G$28:$G$31)</f>
        <v>0</v>
      </c>
      <c r="H26" s="909"/>
      <c r="I26" s="669"/>
      <c r="J26" s="669"/>
      <c r="K26" s="669"/>
      <c r="L26" s="668">
        <f>IF($H$26&lt;=G26,0,"r130,c40&lt;=r130,c30")</f>
        <v>0</v>
      </c>
    </row>
    <row r="27" spans="1:12">
      <c r="A27" s="1156" t="str">
        <f t="shared" si="0"/>
        <v>F-10.00_140</v>
      </c>
      <c r="B27" s="363">
        <v>140</v>
      </c>
      <c r="C27" s="71" t="s">
        <v>98</v>
      </c>
      <c r="D27" s="289" t="s">
        <v>1931</v>
      </c>
      <c r="E27" s="907"/>
      <c r="F27" s="907"/>
      <c r="G27" s="907"/>
      <c r="H27" s="687"/>
      <c r="I27" s="668">
        <f>IF($E$27&lt;=$E$26,0,"r140,c10&lt;=r130,c10")</f>
        <v>0</v>
      </c>
      <c r="J27" s="668">
        <f>IF($F$27&lt;=$F$26,0,"r140,c20&lt;=r130,c20")</f>
        <v>0</v>
      </c>
      <c r="K27" s="668">
        <f>IF($G$27&lt;=$G$26,0,"r140,c30&lt;=r130,c30")</f>
        <v>0</v>
      </c>
      <c r="L27" s="668"/>
    </row>
    <row r="28" spans="1:12">
      <c r="A28" s="1156" t="str">
        <f t="shared" si="0"/>
        <v>F-10.00_150</v>
      </c>
      <c r="B28" s="363">
        <v>150</v>
      </c>
      <c r="C28" s="151" t="s">
        <v>84</v>
      </c>
      <c r="D28" s="289" t="s">
        <v>1874</v>
      </c>
      <c r="E28" s="907"/>
      <c r="F28" s="907"/>
      <c r="G28" s="907"/>
      <c r="H28" s="907"/>
      <c r="I28" s="669"/>
      <c r="J28" s="669"/>
      <c r="K28" s="669"/>
      <c r="L28" s="668">
        <f>IF($H$28&lt;=G28,0,"r150,c40&lt;=r150,c30")</f>
        <v>0</v>
      </c>
    </row>
    <row r="29" spans="1:12">
      <c r="A29" s="1156" t="str">
        <f t="shared" si="0"/>
        <v>F-10.00_160</v>
      </c>
      <c r="B29" s="363">
        <v>160</v>
      </c>
      <c r="C29" s="151" t="s">
        <v>85</v>
      </c>
      <c r="D29" s="29" t="s">
        <v>1874</v>
      </c>
      <c r="E29" s="907"/>
      <c r="F29" s="907"/>
      <c r="G29" s="907"/>
      <c r="H29" s="687"/>
      <c r="I29" s="669"/>
      <c r="J29" s="669"/>
      <c r="K29" s="669"/>
      <c r="L29" s="668"/>
    </row>
    <row r="30" spans="1:12">
      <c r="A30" s="1156" t="str">
        <f t="shared" si="0"/>
        <v>F-10.00_170</v>
      </c>
      <c r="B30" s="363">
        <v>170</v>
      </c>
      <c r="C30" s="151" t="s">
        <v>86</v>
      </c>
      <c r="D30" s="29" t="s">
        <v>1874</v>
      </c>
      <c r="E30" s="907"/>
      <c r="F30" s="907"/>
      <c r="G30" s="907"/>
      <c r="H30" s="907"/>
      <c r="I30" s="669"/>
      <c r="J30" s="669"/>
      <c r="K30" s="669"/>
      <c r="L30" s="668">
        <f>IF($H$30&lt;=G30,0,"r170,c40&lt;=r170,c30")</f>
        <v>0</v>
      </c>
    </row>
    <row r="31" spans="1:12">
      <c r="A31" s="1156" t="str">
        <f t="shared" si="0"/>
        <v>F-10.00_180</v>
      </c>
      <c r="B31" s="363">
        <v>180</v>
      </c>
      <c r="C31" s="151" t="s">
        <v>87</v>
      </c>
      <c r="D31" s="29" t="s">
        <v>1874</v>
      </c>
      <c r="E31" s="907"/>
      <c r="F31" s="907"/>
      <c r="G31" s="907"/>
      <c r="H31" s="687"/>
      <c r="I31" s="669"/>
      <c r="J31" s="669"/>
      <c r="K31" s="669"/>
      <c r="L31" s="668"/>
    </row>
    <row r="32" spans="1:12">
      <c r="A32" s="1156" t="str">
        <f t="shared" si="0"/>
        <v>F-10.00_190</v>
      </c>
      <c r="B32" s="363">
        <v>190</v>
      </c>
      <c r="C32" s="282" t="s">
        <v>89</v>
      </c>
      <c r="D32" s="289" t="s">
        <v>1877</v>
      </c>
      <c r="E32" s="694">
        <f>SUM($E$35:$E$38)</f>
        <v>0</v>
      </c>
      <c r="F32" s="694">
        <f>SUM($F$35:$F$38)</f>
        <v>0</v>
      </c>
      <c r="G32" s="694">
        <f>SUM($G$35:$G$38)</f>
        <v>0</v>
      </c>
      <c r="H32" s="694">
        <f>SUM($H$35:$H$38)</f>
        <v>0</v>
      </c>
      <c r="I32" s="669"/>
      <c r="J32" s="669"/>
      <c r="K32" s="669"/>
      <c r="L32" s="668">
        <f>IF($H$32&lt;=G32,0,"r190,c40&lt;=r190,c30")</f>
        <v>0</v>
      </c>
    </row>
    <row r="33" spans="1:12" ht="21">
      <c r="A33" s="1156" t="str">
        <f t="shared" si="0"/>
        <v>F-10.00_195</v>
      </c>
      <c r="B33" s="361">
        <v>195</v>
      </c>
      <c r="C33" s="1718" t="s">
        <v>1927</v>
      </c>
      <c r="D33" s="80" t="s">
        <v>1928</v>
      </c>
      <c r="E33" s="907"/>
      <c r="F33" s="907"/>
      <c r="G33" s="907"/>
      <c r="H33" s="687"/>
      <c r="I33" s="668">
        <f>IF(E33&lt;=E$32,0,"r195,c10&lt;=r190,c10")</f>
        <v>0</v>
      </c>
      <c r="J33" s="668">
        <f>IF(F33&lt;=F$32,0,"r195,c20&lt;=r190,c20")</f>
        <v>0</v>
      </c>
      <c r="K33" s="668">
        <f>IF(G33&lt;=G$32,0,"r195,c30&lt;=r190,c30")</f>
        <v>0</v>
      </c>
      <c r="L33" s="668"/>
    </row>
    <row r="34" spans="1:12">
      <c r="A34" s="1156" t="str">
        <f t="shared" si="0"/>
        <v>F-10.00_201</v>
      </c>
      <c r="B34" s="361">
        <v>201</v>
      </c>
      <c r="C34" s="1719" t="s">
        <v>1929</v>
      </c>
      <c r="D34" s="241" t="s">
        <v>1930</v>
      </c>
      <c r="E34" s="907"/>
      <c r="F34" s="907"/>
      <c r="G34" s="907"/>
      <c r="H34" s="687"/>
      <c r="I34" s="668">
        <f>IF(E34&lt;=E$32,0,"r201,c10&lt;=r190,c10")</f>
        <v>0</v>
      </c>
      <c r="J34" s="668">
        <f>IF(F34&lt;=F$32,0,"r201,c20&lt;=r190,c20")</f>
        <v>0</v>
      </c>
      <c r="K34" s="668">
        <f>IF(G34&lt;=G$32,0,"r201,c30&lt;=r190,c30")</f>
        <v>0</v>
      </c>
      <c r="L34" s="668"/>
    </row>
    <row r="35" spans="1:12">
      <c r="A35" s="1156" t="str">
        <f t="shared" si="0"/>
        <v>F-10.00_210</v>
      </c>
      <c r="B35" s="363">
        <v>210</v>
      </c>
      <c r="C35" s="151" t="s">
        <v>90</v>
      </c>
      <c r="D35" s="72"/>
      <c r="E35" s="907"/>
      <c r="F35" s="907"/>
      <c r="G35" s="907"/>
      <c r="H35" s="907"/>
      <c r="I35" s="668"/>
      <c r="J35" s="668"/>
      <c r="K35" s="668"/>
      <c r="L35" s="668"/>
    </row>
    <row r="36" spans="1:12">
      <c r="A36" s="1156" t="str">
        <f t="shared" si="0"/>
        <v>F-10.00_220</v>
      </c>
      <c r="B36" s="363">
        <v>220</v>
      </c>
      <c r="C36" s="151" t="s">
        <v>91</v>
      </c>
      <c r="D36" s="71"/>
      <c r="E36" s="907"/>
      <c r="F36" s="907"/>
      <c r="G36" s="907"/>
      <c r="H36" s="907"/>
      <c r="I36" s="669"/>
      <c r="J36" s="669"/>
      <c r="K36" s="668">
        <f>IF(H35&lt;=H$32,0,"r210,c40&lt;=r190,c30")</f>
        <v>0</v>
      </c>
      <c r="L36" s="668">
        <f>IF($H$36&lt;=$G$36,0,"r220,c40&lt;=r220,c30")</f>
        <v>0</v>
      </c>
    </row>
    <row r="37" spans="1:12">
      <c r="A37" s="1156" t="str">
        <f t="shared" si="0"/>
        <v>F-10.00_230</v>
      </c>
      <c r="B37" s="363">
        <v>230</v>
      </c>
      <c r="C37" s="151" t="s">
        <v>92</v>
      </c>
      <c r="D37" s="71"/>
      <c r="E37" s="907"/>
      <c r="F37" s="907"/>
      <c r="G37" s="907"/>
      <c r="H37" s="907"/>
      <c r="I37" s="669"/>
      <c r="J37" s="669"/>
      <c r="K37" s="669"/>
      <c r="L37" s="668">
        <f>IF($H$37&lt;=$G$37,0,"r230,c40&lt;=r230,c30")</f>
        <v>0</v>
      </c>
    </row>
    <row r="38" spans="1:12">
      <c r="A38" s="1156" t="str">
        <f t="shared" si="0"/>
        <v>F-10.00_240</v>
      </c>
      <c r="B38" s="363">
        <v>240</v>
      </c>
      <c r="C38" s="151" t="s">
        <v>93</v>
      </c>
      <c r="D38" s="71"/>
      <c r="E38" s="907"/>
      <c r="F38" s="907"/>
      <c r="G38" s="907"/>
      <c r="H38" s="907"/>
      <c r="I38" s="669"/>
      <c r="J38" s="669"/>
      <c r="K38" s="669"/>
      <c r="L38" s="668">
        <f>IF($H$38&lt;=$G$38,0,"r240,c40&lt;=r240,c30")</f>
        <v>0</v>
      </c>
    </row>
    <row r="39" spans="1:12">
      <c r="A39" s="1156" t="str">
        <f t="shared" si="0"/>
        <v>F-10.00_250</v>
      </c>
      <c r="B39" s="363">
        <v>250</v>
      </c>
      <c r="C39" s="282" t="s">
        <v>94</v>
      </c>
      <c r="D39" s="1572" t="s">
        <v>1878</v>
      </c>
      <c r="E39" s="1951"/>
      <c r="F39" s="1951"/>
      <c r="G39" s="1951"/>
      <c r="H39" s="909"/>
      <c r="I39" s="669"/>
      <c r="J39" s="669"/>
      <c r="K39" s="669"/>
      <c r="L39" s="668">
        <f>IF($H$39&lt;=$G$39,0,"r250,c40&lt;=r250,c30")</f>
        <v>0</v>
      </c>
    </row>
    <row r="40" spans="1:12">
      <c r="A40" s="1156" t="str">
        <f t="shared" si="0"/>
        <v>F-10.00_260</v>
      </c>
      <c r="B40" s="363">
        <v>260</v>
      </c>
      <c r="C40" s="71" t="s">
        <v>98</v>
      </c>
      <c r="D40" s="1572" t="s">
        <v>1931</v>
      </c>
      <c r="E40" s="907"/>
      <c r="F40" s="907"/>
      <c r="G40" s="907"/>
      <c r="H40" s="687"/>
      <c r="I40" s="668">
        <f>IF($E$40&lt;=$E$39,0,"r260,c10&lt;=r250,c10")</f>
        <v>0</v>
      </c>
      <c r="J40" s="668">
        <f>IF($F$40&lt;=$F$39,0,"r260,c20&lt;=r250,c20")</f>
        <v>0</v>
      </c>
      <c r="K40" s="668">
        <f>IF($G$40&lt;=$G$39,0,"r260,c30&lt;=r250,c30")</f>
        <v>0</v>
      </c>
      <c r="L40" s="668"/>
    </row>
    <row r="41" spans="1:12">
      <c r="A41" s="1156" t="str">
        <f t="shared" si="0"/>
        <v>F-10.00_270</v>
      </c>
      <c r="B41" s="364">
        <v>270</v>
      </c>
      <c r="C41" s="282" t="s">
        <v>93</v>
      </c>
      <c r="D41" s="1572" t="s">
        <v>1879</v>
      </c>
      <c r="E41" s="1951"/>
      <c r="F41" s="1951"/>
      <c r="G41" s="1951"/>
      <c r="H41" s="909"/>
      <c r="I41" s="669"/>
      <c r="J41" s="669"/>
      <c r="K41" s="669"/>
      <c r="L41" s="668">
        <f>IF($H$41&lt;=$G$41,0,"r270,c40&lt;=r270,c30")</f>
        <v>0</v>
      </c>
    </row>
    <row r="42" spans="1:12">
      <c r="A42" s="1156" t="str">
        <f t="shared" si="0"/>
        <v>F-10.00_280</v>
      </c>
      <c r="B42" s="363">
        <v>280</v>
      </c>
      <c r="C42" s="283" t="s">
        <v>98</v>
      </c>
      <c r="D42" s="1572" t="s">
        <v>1931</v>
      </c>
      <c r="E42" s="910"/>
      <c r="F42" s="910"/>
      <c r="G42" s="910"/>
      <c r="H42" s="692"/>
      <c r="I42" s="668">
        <f>IF($E$42&lt;=$E$41,0,"r280,c10&lt;=r270,c10")</f>
        <v>0</v>
      </c>
      <c r="J42" s="668">
        <f>IF($F$42&lt;=$F$41,0,"r280,c20&lt;=r270,c20")</f>
        <v>0</v>
      </c>
      <c r="K42" s="668">
        <f>IF($G$42&lt;=$G$41,0,"r280,c30&lt;=r270,c30")</f>
        <v>0</v>
      </c>
      <c r="L42" s="668"/>
    </row>
    <row r="43" spans="1:12">
      <c r="A43" s="1156" t="str">
        <f t="shared" si="0"/>
        <v>F-10.00_290</v>
      </c>
      <c r="B43" s="365">
        <v>290</v>
      </c>
      <c r="C43" s="284" t="s">
        <v>437</v>
      </c>
      <c r="D43" s="1573" t="s">
        <v>1746</v>
      </c>
      <c r="E43" s="695">
        <f>SUM($E$14+$E$20+$E$26+$E$32+$E$39+$E$41)</f>
        <v>0</v>
      </c>
      <c r="F43" s="695">
        <f>SUM($F$14+$F$20+$F$26+$F$32+$F$39+$F$41)</f>
        <v>0</v>
      </c>
      <c r="G43" s="695">
        <f>SUM($G$14+$G$20+$G$26+$G$32+$G$39+$G$41)</f>
        <v>0</v>
      </c>
      <c r="H43" s="695">
        <f>SUM($H$14+$H$20+$H$26+$H$32+$H$39+$H$41)</f>
        <v>0</v>
      </c>
      <c r="I43" s="668">
        <f>IF($E$43&gt;=SUM($E$44:$E$46),0,"r290,c10&gt;=sum(r300-320),c10")</f>
        <v>0</v>
      </c>
      <c r="J43" s="668">
        <f>IF($F$43&gt;=SUM($F$44:$F$46),0,"r290,c20&gt;=sum(r300-320),c20")</f>
        <v>0</v>
      </c>
      <c r="K43" s="668">
        <f>IF($G$43&gt;=SUM($G$44:$G$46),0,"r290,c30&gt;=sum(r300-320),c30")</f>
        <v>0</v>
      </c>
      <c r="L43" s="668">
        <f>IF($H$43&lt;=$G$43,0,"r290,c40&lt;=r290,c30")</f>
        <v>0</v>
      </c>
    </row>
    <row r="44" spans="1:12" ht="21.75">
      <c r="A44" s="1156" t="str">
        <f t="shared" si="0"/>
        <v>F-10.00_300</v>
      </c>
      <c r="B44" s="386">
        <v>300</v>
      </c>
      <c r="C44" s="285" t="s">
        <v>95</v>
      </c>
      <c r="D44" s="1574" t="s">
        <v>1886</v>
      </c>
      <c r="E44" s="912"/>
      <c r="F44" s="912"/>
      <c r="G44" s="912"/>
      <c r="H44" s="696"/>
      <c r="L44" s="624"/>
    </row>
    <row r="45" spans="1:12" ht="21.75">
      <c r="A45" s="1156" t="str">
        <f t="shared" si="0"/>
        <v>F-10.00_310</v>
      </c>
      <c r="B45" s="363">
        <v>310</v>
      </c>
      <c r="C45" s="286" t="s">
        <v>96</v>
      </c>
      <c r="D45" s="1575" t="s">
        <v>1887</v>
      </c>
      <c r="E45" s="913"/>
      <c r="F45" s="913"/>
      <c r="G45" s="913"/>
      <c r="H45" s="687"/>
      <c r="L45" s="624"/>
    </row>
    <row r="46" spans="1:12" ht="21.75">
      <c r="A46" s="1156" t="str">
        <f t="shared" si="0"/>
        <v>F-10.00_320</v>
      </c>
      <c r="B46" s="378">
        <v>320</v>
      </c>
      <c r="C46" s="287" t="s">
        <v>97</v>
      </c>
      <c r="D46" s="1576" t="s">
        <v>1888</v>
      </c>
      <c r="E46" s="914"/>
      <c r="F46" s="914"/>
      <c r="G46" s="914"/>
      <c r="H46" s="692"/>
      <c r="L46" s="624"/>
    </row>
    <row r="47" spans="1:12">
      <c r="A47" s="1100" t="s">
        <v>718</v>
      </c>
      <c r="E47" s="915">
        <f>IF($E$32&gt;=$E$35,0,"r190,c10&gt;=r210,c10")</f>
        <v>0</v>
      </c>
      <c r="F47" s="915">
        <f>IF($F$32&gt;=$F$35,0,"r190,c20&gt;=r210,c20")</f>
        <v>0</v>
      </c>
      <c r="G47" s="915">
        <f>IF($G$32&gt;=$G$35,0,"r190,c30&gt;=r210,c30")</f>
        <v>0</v>
      </c>
      <c r="H47" s="668">
        <f>IF($H$32&gt;=$H$35,0,"r190,c40&gt;=r210,c40")</f>
        <v>0</v>
      </c>
    </row>
    <row r="48" spans="1:12">
      <c r="A48" s="1100" t="s">
        <v>718</v>
      </c>
      <c r="E48" s="668">
        <f>IF($E$14&gt;=0,0,"F10,c10&gt;=0")</f>
        <v>0</v>
      </c>
      <c r="F48" s="668">
        <f>IF($F$14&gt;=0,0,"F10,c20&gt;=0")</f>
        <v>0</v>
      </c>
      <c r="G48" s="668">
        <f>IF($G$14&gt;=0,0,"F10,c30&gt;=0")</f>
        <v>0</v>
      </c>
      <c r="H48" s="668">
        <f>IF($H$14&gt;=0,0,"F10,c40&gt;=0")</f>
        <v>0</v>
      </c>
    </row>
    <row r="49" spans="1:8">
      <c r="A49" s="1100" t="s">
        <v>718</v>
      </c>
      <c r="E49" s="668">
        <f>IF($E$15&gt;=0,0,"F10,c10&gt;=0")</f>
        <v>0</v>
      </c>
      <c r="F49" s="668">
        <f>IF($F$15&gt;=0,0,"F10,c20&gt;=0")</f>
        <v>0</v>
      </c>
      <c r="G49" s="668">
        <f>IF($G$15&gt;=0,0,"F10,c30&gt;=0")</f>
        <v>0</v>
      </c>
      <c r="H49" s="668">
        <f>IF($H$16&gt;=0,0,"F10,c40&gt;=0")</f>
        <v>0</v>
      </c>
    </row>
    <row r="50" spans="1:8">
      <c r="A50" s="1100" t="s">
        <v>718</v>
      </c>
      <c r="E50" s="668">
        <f>IF($E$16&gt;=0,0,"F10,c10&gt;=0")</f>
        <v>0</v>
      </c>
      <c r="F50" s="668">
        <f>IF($F$16&gt;=0,0,"F10,c20&gt;=0")</f>
        <v>0</v>
      </c>
      <c r="G50" s="668">
        <f>IF($G$16&gt;=0,0,"F10,c30&gt;=0")</f>
        <v>0</v>
      </c>
      <c r="H50" s="668">
        <f>IF($H$18&gt;=0,0,"F10,c40&gt;=0")</f>
        <v>0</v>
      </c>
    </row>
    <row r="51" spans="1:8">
      <c r="A51" s="1100" t="s">
        <v>718</v>
      </c>
      <c r="E51" s="668">
        <f>IF($E$17&gt;=0,0,"F10,c10&gt;=0")</f>
        <v>0</v>
      </c>
      <c r="F51" s="668">
        <f>IF($F$17&gt;=0,0,"F10,c20&gt;=0")</f>
        <v>0</v>
      </c>
      <c r="G51" s="668">
        <f>IF($G$17&gt;=0,0,"F10,c30&gt;=0")</f>
        <v>0</v>
      </c>
      <c r="H51" s="668">
        <f>IF($H$20&gt;=0,0,"F10,c40&gt;=0")</f>
        <v>0</v>
      </c>
    </row>
    <row r="52" spans="1:8">
      <c r="A52" s="1100" t="s">
        <v>718</v>
      </c>
      <c r="E52" s="668">
        <f>IF($E$18&gt;=0,0,"F10,c10&gt;=0")</f>
        <v>0</v>
      </c>
      <c r="F52" s="668">
        <f>IF($F$18&gt;=0,0,"F10,c20&gt;=0")</f>
        <v>0</v>
      </c>
      <c r="G52" s="668">
        <f>IF($G$18&gt;=0,0,"F10,c30&gt;=0")</f>
        <v>0</v>
      </c>
      <c r="H52" s="668">
        <f>IF($H$22&gt;=0,0,"F10,c40&gt;=0")</f>
        <v>0</v>
      </c>
    </row>
    <row r="53" spans="1:8">
      <c r="A53" s="1100" t="s">
        <v>718</v>
      </c>
      <c r="E53" s="668">
        <f>IF($E$19&gt;=0,0,"F10,c10&gt;=0")</f>
        <v>0</v>
      </c>
      <c r="F53" s="668">
        <f>IF($F$19&gt;=0,0,"F10,c20&gt;=0")</f>
        <v>0</v>
      </c>
      <c r="G53" s="668">
        <f>IF($G$19&gt;=0,0,"F10,c30&gt;=0")</f>
        <v>0</v>
      </c>
      <c r="H53" s="668">
        <f>IF($H$24&gt;=0,0,"F10,c40&gt;=0")</f>
        <v>0</v>
      </c>
    </row>
    <row r="54" spans="1:8">
      <c r="A54" s="1100" t="s">
        <v>718</v>
      </c>
      <c r="E54" s="668">
        <f>IF($E$20&gt;=0,0,"F10,c10&gt;=0")</f>
        <v>0</v>
      </c>
      <c r="F54" s="668">
        <f>IF($F$20&gt;=0,0,"F10,c20&gt;=0")</f>
        <v>0</v>
      </c>
      <c r="G54" s="668">
        <f>IF($G$20&gt;=0,0,"F10,c30&gt;=0")</f>
        <v>0</v>
      </c>
      <c r="H54" s="668">
        <f>IF($H$26&gt;=0,0,"F10,c40&gt;=0")</f>
        <v>0</v>
      </c>
    </row>
    <row r="55" spans="1:8">
      <c r="A55" s="1100" t="s">
        <v>718</v>
      </c>
      <c r="E55" s="668">
        <f>IF($E$21&gt;=0,0,"F10,c10&gt;=0")</f>
        <v>0</v>
      </c>
      <c r="F55" s="668">
        <f>IF($F$21&gt;=0,0,"F10,c20&gt;=0")</f>
        <v>0</v>
      </c>
      <c r="G55" s="668">
        <f>IF($G$21&gt;=0,0,"F10,c30&gt;=0")</f>
        <v>0</v>
      </c>
      <c r="H55" s="668">
        <f>IF($H$28&gt;=0,0,"F10,c40&gt;=0")</f>
        <v>0</v>
      </c>
    </row>
    <row r="56" spans="1:8">
      <c r="A56" s="1100" t="s">
        <v>718</v>
      </c>
      <c r="E56" s="668">
        <f>IF($E$22&gt;=0,0,"F10,c10&gt;=0")</f>
        <v>0</v>
      </c>
      <c r="F56" s="668">
        <f>IF($F$22&gt;=0,0,"F10,c20&gt;=0")</f>
        <v>0</v>
      </c>
      <c r="G56" s="668">
        <f>IF($G$22&gt;=0,0,"F10,c30&gt;=0")</f>
        <v>0</v>
      </c>
      <c r="H56" s="668">
        <f>IF($H$30&gt;=0,0,"F10,c40&gt;=0")</f>
        <v>0</v>
      </c>
    </row>
    <row r="57" spans="1:8">
      <c r="A57" s="1100" t="s">
        <v>718</v>
      </c>
      <c r="E57" s="668">
        <f>IF($E$23&gt;=0,0,"F10,c10&gt;=0")</f>
        <v>0</v>
      </c>
      <c r="F57" s="668">
        <f>IF($F$23&gt;=0,0,"F10,c20&gt;=0")</f>
        <v>0</v>
      </c>
      <c r="G57" s="668">
        <f>IF($G$23&gt;=0,0,"F10,c30&gt;=0")</f>
        <v>0</v>
      </c>
      <c r="H57" s="668">
        <f>IF($H$35&gt;=0,0,"F10,c40&gt;=0")</f>
        <v>0</v>
      </c>
    </row>
    <row r="58" spans="1:8">
      <c r="A58" s="1100" t="s">
        <v>718</v>
      </c>
      <c r="E58" s="668">
        <f>IF($E$24&gt;=0,0,"F10,c10&gt;=0")</f>
        <v>0</v>
      </c>
      <c r="F58" s="668">
        <f>IF($F$24&gt;=0,0,"F10,c20&gt;=0")</f>
        <v>0</v>
      </c>
      <c r="G58" s="668">
        <f>IF($G$24&gt;=0,0,"F10,c30&gt;=0")</f>
        <v>0</v>
      </c>
      <c r="H58" s="668">
        <f>IF($H$36&gt;=0,0,"F10,c40&gt;=0")</f>
        <v>0</v>
      </c>
    </row>
    <row r="59" spans="1:8">
      <c r="A59" s="1100" t="s">
        <v>718</v>
      </c>
      <c r="E59" s="668">
        <f>IF($E$25&gt;=0,0,"F10,c10&gt;=0")</f>
        <v>0</v>
      </c>
      <c r="F59" s="668">
        <f>IF($F$25&gt;=0,0,"F10,c20&gt;=0")</f>
        <v>0</v>
      </c>
      <c r="G59" s="668">
        <f>IF($G$25&gt;=0,0,"F10,c30&gt;=0")</f>
        <v>0</v>
      </c>
      <c r="H59" s="668">
        <f>IF($H$37&gt;=0,0,"F10,c40&gt;=0")</f>
        <v>0</v>
      </c>
    </row>
    <row r="60" spans="1:8">
      <c r="A60" s="1100" t="s">
        <v>718</v>
      </c>
      <c r="E60" s="668">
        <f>IF($E$26&gt;=0,0,"F10,c10&gt;=0")</f>
        <v>0</v>
      </c>
      <c r="F60" s="668">
        <f>IF($F$26&gt;=0,0,"F10,c20&gt;=0")</f>
        <v>0</v>
      </c>
      <c r="G60" s="668">
        <f>IF($G$26&gt;=0,0,"F10,c30&gt;=0")</f>
        <v>0</v>
      </c>
      <c r="H60" s="668">
        <f>IF($H$38&gt;=0,0,"F10,c40&gt;=0")</f>
        <v>0</v>
      </c>
    </row>
    <row r="61" spans="1:8">
      <c r="A61" s="1100" t="s">
        <v>718</v>
      </c>
      <c r="E61" s="668">
        <f>IF($E$27&gt;=0,0,"F10,c10&gt;=0")</f>
        <v>0</v>
      </c>
      <c r="F61" s="668">
        <f>IF($F$27&gt;=0,0,"F10,c20&gt;=0")</f>
        <v>0</v>
      </c>
      <c r="G61" s="668">
        <f>IF($G$27&gt;=0,0,"F10,c30&gt;=0")</f>
        <v>0</v>
      </c>
      <c r="H61" s="668">
        <f>IF($H$39&gt;=0,0,"F10,c40&gt;=0")</f>
        <v>0</v>
      </c>
    </row>
    <row r="62" spans="1:8">
      <c r="A62" s="1100" t="s">
        <v>718</v>
      </c>
      <c r="E62" s="668">
        <f>IF($E$28&gt;=0,0,"F10,c10&gt;=0")</f>
        <v>0</v>
      </c>
      <c r="F62" s="668">
        <f>IF($F$28&gt;=0,0,"F10,c20&gt;=0")</f>
        <v>0</v>
      </c>
      <c r="G62" s="668">
        <f>IF($G$28&gt;=0,0,"F10,c30&gt;=0")</f>
        <v>0</v>
      </c>
      <c r="H62" s="668">
        <f>IF($H$41&gt;=0,0,"F10,c40&gt;=0")</f>
        <v>0</v>
      </c>
    </row>
    <row r="63" spans="1:8">
      <c r="A63" s="1100" t="s">
        <v>718</v>
      </c>
      <c r="E63" s="668">
        <f>IF($E$29&gt;=0,0,"F10,c10&gt;=0")</f>
        <v>0</v>
      </c>
      <c r="F63" s="668">
        <f>IF($F$29&gt;=0,0,"F10,c20&gt;=0")</f>
        <v>0</v>
      </c>
      <c r="G63" s="668">
        <f>IF($G$29&gt;=0,0,"F10,c30&gt;=0")</f>
        <v>0</v>
      </c>
      <c r="H63" s="669"/>
    </row>
    <row r="64" spans="1:8">
      <c r="A64" s="1100" t="s">
        <v>718</v>
      </c>
      <c r="E64" s="668">
        <f>IF($E$30&gt;=0,0,"F10,c10&gt;=0")</f>
        <v>0</v>
      </c>
      <c r="F64" s="668">
        <f>IF($F$30&gt;=0,0,"F10,c20&gt;=0")</f>
        <v>0</v>
      </c>
      <c r="G64" s="668">
        <f>IF($G$30&gt;=0,0,"F10,c30&gt;=0")</f>
        <v>0</v>
      </c>
      <c r="H64" s="669"/>
    </row>
    <row r="65" spans="1:8">
      <c r="A65" s="1100" t="s">
        <v>718</v>
      </c>
      <c r="E65" s="668">
        <f>IF($E$31&gt;=0,0,"F10,c10&gt;=0")</f>
        <v>0</v>
      </c>
      <c r="F65" s="668">
        <f>IF($F$31&gt;=0,0,"F10,c20&gt;=0")</f>
        <v>0</v>
      </c>
      <c r="G65" s="668">
        <f>IF($G$31&gt;=0,0,"F10,c30&gt;=0")</f>
        <v>0</v>
      </c>
      <c r="H65" s="669"/>
    </row>
    <row r="66" spans="1:8">
      <c r="A66" s="1100" t="s">
        <v>718</v>
      </c>
      <c r="E66" s="668">
        <f>IF($E32&gt;=0,0,"F10,c10&gt;=0")</f>
        <v>0</v>
      </c>
      <c r="F66" s="668">
        <f>IF($F32&gt;=0,0,"F10,c20&gt;=0")</f>
        <v>0</v>
      </c>
      <c r="G66" s="668">
        <f>IF($G32&gt;=0,0,"F10,c30&gt;=0")</f>
        <v>0</v>
      </c>
      <c r="H66" s="669"/>
    </row>
    <row r="67" spans="1:8">
      <c r="A67" s="1100" t="s">
        <v>718</v>
      </c>
      <c r="E67" s="668">
        <f t="shared" ref="E67:E68" si="1">IF($E33&gt;=0,0,"F10,c10&gt;=0")</f>
        <v>0</v>
      </c>
      <c r="F67" s="668">
        <f t="shared" ref="F67:F68" si="2">IF($F33&gt;=0,0,"F10,c20&gt;=0")</f>
        <v>0</v>
      </c>
      <c r="G67" s="668">
        <f t="shared" ref="G67:G68" si="3">IF($G33&gt;=0,0,"F10,c30&gt;=0")</f>
        <v>0</v>
      </c>
      <c r="H67" s="669"/>
    </row>
    <row r="68" spans="1:8">
      <c r="A68" s="1100" t="s">
        <v>718</v>
      </c>
      <c r="E68" s="668">
        <f t="shared" si="1"/>
        <v>0</v>
      </c>
      <c r="F68" s="668">
        <f t="shared" si="2"/>
        <v>0</v>
      </c>
      <c r="G68" s="668">
        <f t="shared" si="3"/>
        <v>0</v>
      </c>
      <c r="H68" s="669"/>
    </row>
    <row r="69" spans="1:8">
      <c r="A69" s="1100" t="s">
        <v>718</v>
      </c>
      <c r="E69" s="668">
        <f>IF($E$35&gt;=0,0,"F10,c10&gt;=0")</f>
        <v>0</v>
      </c>
      <c r="F69" s="668">
        <f>IF($F$35&gt;=0,0,"F10,c20&gt;=0")</f>
        <v>0</v>
      </c>
      <c r="G69" s="668">
        <f>IF($G$35&gt;=0,0,"F10,c30&gt;=0")</f>
        <v>0</v>
      </c>
      <c r="H69" s="669"/>
    </row>
    <row r="70" spans="1:8">
      <c r="A70" s="1100" t="s">
        <v>718</v>
      </c>
      <c r="E70" s="668">
        <f>IF($E$36&gt;=0,0,"F10,c10&gt;=0")</f>
        <v>0</v>
      </c>
      <c r="F70" s="668">
        <f>IF($F$36&gt;=0,0,"F10,c20&gt;=0")</f>
        <v>0</v>
      </c>
      <c r="G70" s="668">
        <f>IF($G$36&gt;=0,0,"F10,c30&gt;=0")</f>
        <v>0</v>
      </c>
      <c r="H70" s="669"/>
    </row>
    <row r="71" spans="1:8">
      <c r="A71" s="1100" t="s">
        <v>718</v>
      </c>
      <c r="E71" s="668">
        <f>IF($E$37&gt;=0,0,"F10,c10&gt;=0")</f>
        <v>0</v>
      </c>
      <c r="F71" s="668">
        <f>IF($F$37&gt;=0,0,"F10,c20&gt;=0")</f>
        <v>0</v>
      </c>
      <c r="G71" s="668">
        <f>IF($G$37&gt;=0,0,"F10,c30&gt;=0")</f>
        <v>0</v>
      </c>
      <c r="H71" s="669"/>
    </row>
    <row r="72" spans="1:8">
      <c r="A72" s="1100" t="s">
        <v>718</v>
      </c>
      <c r="E72" s="668">
        <f>IF($E$38&gt;=0,0,"F10,c10&gt;=0")</f>
        <v>0</v>
      </c>
      <c r="F72" s="668">
        <f>IF($F$38&gt;=0,0,"F10,c20&gt;=0")</f>
        <v>0</v>
      </c>
      <c r="G72" s="668">
        <f>IF($G$38&gt;=0,0,"F10,c30&gt;=0")</f>
        <v>0</v>
      </c>
      <c r="H72" s="669"/>
    </row>
    <row r="73" spans="1:8">
      <c r="A73" s="1100" t="s">
        <v>718</v>
      </c>
      <c r="E73" s="668">
        <f>IF($E$39&gt;=0,0,"F10,c10&gt;=0")</f>
        <v>0</v>
      </c>
      <c r="F73" s="668">
        <f>IF($F$39&gt;=0,0,"F10,c20&gt;=0")</f>
        <v>0</v>
      </c>
      <c r="G73" s="668">
        <f>IF($G$39&gt;=0,0,"F10,c30&gt;=0")</f>
        <v>0</v>
      </c>
      <c r="H73" s="669"/>
    </row>
    <row r="74" spans="1:8">
      <c r="A74" s="1100" t="s">
        <v>718</v>
      </c>
      <c r="E74" s="668">
        <f>IF($E$40&gt;=0,0,"F10,c10&gt;=0")</f>
        <v>0</v>
      </c>
      <c r="F74" s="668">
        <f>IF($F$40&gt;=0,0,"F10,c20&gt;=0")</f>
        <v>0</v>
      </c>
      <c r="G74" s="668">
        <f>IF($G$40&gt;=0,0,"F10,c30&gt;=0")</f>
        <v>0</v>
      </c>
      <c r="H74" s="669"/>
    </row>
    <row r="75" spans="1:8">
      <c r="A75" s="1100" t="s">
        <v>718</v>
      </c>
      <c r="E75" s="668">
        <f>IF($E$41&gt;=0,0,"F10,c10&gt;=0")</f>
        <v>0</v>
      </c>
      <c r="F75" s="668">
        <f>IF($F$41&gt;=0,0,"F10,c20&gt;=0")</f>
        <v>0</v>
      </c>
      <c r="G75" s="668">
        <f>IF($G$41&gt;=0,0,"F10,c30&gt;=0")</f>
        <v>0</v>
      </c>
      <c r="H75" s="669"/>
    </row>
    <row r="76" spans="1:8">
      <c r="A76" s="1100" t="s">
        <v>718</v>
      </c>
      <c r="E76" s="668">
        <f>IF($E$42&gt;=0,0,"F10,c10&gt;=0")</f>
        <v>0</v>
      </c>
      <c r="F76" s="668">
        <f>IF($F$42&gt;=0,0,"F10,c20&gt;=0")</f>
        <v>0</v>
      </c>
      <c r="G76" s="668">
        <f>IF($G$42&gt;=0,0,"F10,c30&gt;=0")</f>
        <v>0</v>
      </c>
      <c r="H76" s="669"/>
    </row>
    <row r="77" spans="1:8">
      <c r="A77" s="1100" t="s">
        <v>718</v>
      </c>
      <c r="E77" s="668">
        <f>IF($E$43&gt;=0,0,"F10,c10&gt;=0")</f>
        <v>0</v>
      </c>
      <c r="F77" s="668">
        <f>IF($F$43&gt;=0,0,"F10,c20&gt;=0")</f>
        <v>0</v>
      </c>
      <c r="G77" s="668">
        <f>IF($G$43&gt;=0,0,"F10,c30&gt;=0")</f>
        <v>0</v>
      </c>
      <c r="H77" s="669"/>
    </row>
    <row r="78" spans="1:8">
      <c r="A78" s="1100" t="s">
        <v>718</v>
      </c>
      <c r="E78" s="668">
        <f>IF($E$44&gt;=0,0,"F10,c10&gt;=0")</f>
        <v>0</v>
      </c>
      <c r="F78" s="668">
        <f>IF($F$44&gt;=0,0,"F10,c20&gt;=0")</f>
        <v>0</v>
      </c>
      <c r="G78" s="668">
        <f>IF($G$44&gt;=0,0,"F10,c30&gt;=0")</f>
        <v>0</v>
      </c>
      <c r="H78" s="669"/>
    </row>
    <row r="79" spans="1:8">
      <c r="A79" s="1100" t="s">
        <v>718</v>
      </c>
      <c r="E79" s="668">
        <f>IF($E$45&gt;=0,0,"F10,c10&gt;=0")</f>
        <v>0</v>
      </c>
      <c r="F79" s="668">
        <f>IF($F$45&gt;=0,0,"F10,c20&gt;=0")</f>
        <v>0</v>
      </c>
      <c r="G79" s="668">
        <f>IF($G$45&gt;=0,0,"F10,c30&gt;=0")</f>
        <v>0</v>
      </c>
      <c r="H79" s="669"/>
    </row>
    <row r="80" spans="1:8">
      <c r="A80" s="1100" t="s">
        <v>718</v>
      </c>
      <c r="E80" s="668">
        <f>IF($E$46&gt;=0,0,"F10,c10&gt;=0")</f>
        <v>0</v>
      </c>
      <c r="F80" s="668">
        <f>IF($F$46&gt;=0,0,"F10,c20&gt;=0")</f>
        <v>0</v>
      </c>
      <c r="G80" s="668">
        <f>IF($G$46&gt;=0,0,"F10,c30&gt;=0")</f>
        <v>0</v>
      </c>
      <c r="H80" s="669"/>
    </row>
    <row r="81" spans="1:5">
      <c r="A81" s="1100" t="s">
        <v>718</v>
      </c>
      <c r="E81" s="624"/>
    </row>
    <row r="82" spans="1:5">
      <c r="A82" s="1100" t="s">
        <v>718</v>
      </c>
    </row>
    <row r="83" spans="1:5">
      <c r="A83" s="1100" t="s">
        <v>718</v>
      </c>
    </row>
    <row r="84" spans="1:5">
      <c r="A84" s="1156" t="s">
        <v>724</v>
      </c>
    </row>
  </sheetData>
  <sheetProtection password="C2F4" sheet="1" objects="1" scenarios="1"/>
  <mergeCells count="7">
    <mergeCell ref="E9:F9"/>
    <mergeCell ref="G9:H9"/>
    <mergeCell ref="C9:C10"/>
    <mergeCell ref="E10:E11"/>
    <mergeCell ref="F10:F11"/>
    <mergeCell ref="G10:G11"/>
    <mergeCell ref="H10:H11"/>
  </mergeCells>
  <dataValidations count="1">
    <dataValidation type="whole" allowBlank="1" showInputMessage="1" showErrorMessage="1" error="wrong number format or sign" sqref="H26 H24 H22 H20 H14 H28 H41 H30 H35:H39 H43 H32 E14:G46">
      <formula1>0</formula1>
      <formula2>99999999</formula2>
    </dataValidation>
  </dataValidations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scale="47" orientation="landscape" cellComments="asDisplayed" r:id="rId1"/>
  <headerFooter scaleWithDoc="0" alignWithMargins="0"/>
  <ignoredErrors>
    <ignoredError sqref="B35:B46 B14:B32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O129"/>
  <sheetViews>
    <sheetView topLeftCell="B6" zoomScaleNormal="100" zoomScaleSheetLayoutView="100" workbookViewId="0">
      <selection activeCell="B6" sqref="B6"/>
    </sheetView>
  </sheetViews>
  <sheetFormatPr defaultColWidth="10.42578125" defaultRowHeight="12.75"/>
  <cols>
    <col min="1" max="1" width="13.5703125" style="1156" hidden="1" customWidth="1"/>
    <col min="2" max="2" width="5.140625" style="83" customWidth="1"/>
    <col min="3" max="3" width="55.28515625" style="83" customWidth="1"/>
    <col min="4" max="4" width="26" style="83" customWidth="1"/>
    <col min="5" max="5" width="15.140625" style="84" customWidth="1"/>
    <col min="6" max="6" width="15.140625" style="83" customWidth="1"/>
    <col min="7" max="8" width="15.7109375" style="83" customWidth="1"/>
    <col min="9" max="9" width="20.140625" style="83" bestFit="1" customWidth="1"/>
    <col min="10" max="11" width="12.42578125" style="83" bestFit="1" customWidth="1"/>
    <col min="12" max="12" width="11.5703125" style="83" customWidth="1"/>
    <col min="13" max="13" width="11.85546875" style="83" customWidth="1"/>
    <col min="14" max="14" width="15.140625" style="83" customWidth="1"/>
    <col min="15" max="15" width="17.140625" style="83" customWidth="1"/>
    <col min="16" max="16384" width="10.42578125" style="83"/>
  </cols>
  <sheetData>
    <row r="1" spans="1:15" s="1097" customFormat="1" ht="18" hidden="1" customHeight="1">
      <c r="A1" s="1096" t="s">
        <v>1242</v>
      </c>
      <c r="B1" s="1118">
        <v>2</v>
      </c>
      <c r="C1" s="1118">
        <v>1</v>
      </c>
      <c r="D1" s="1119">
        <v>15</v>
      </c>
      <c r="E1" s="1182">
        <v>5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15" s="1097" customFormat="1" ht="18" hidden="1" customHeight="1">
      <c r="A2" s="1096" t="str">
        <f>Index!$A$2</f>
        <v>V20181222</v>
      </c>
      <c r="B2" s="1098"/>
      <c r="C2" s="1099"/>
      <c r="D2" s="1100"/>
      <c r="E2" s="1100" t="str">
        <f>$A$1&amp;"_"&amp;E14</f>
        <v>F-11.01_010</v>
      </c>
      <c r="F2" s="1100" t="str">
        <f>$A$1&amp;"_"&amp;F14</f>
        <v>F-11.01_020</v>
      </c>
      <c r="G2" s="1100" t="str">
        <f>$A$1&amp;"_"&amp;G14</f>
        <v>F-11.01_030</v>
      </c>
      <c r="H2" s="1100" t="str">
        <f>$A$1&amp;"_"&amp;H14</f>
        <v>F-11.01_040</v>
      </c>
      <c r="I2" s="1100"/>
      <c r="J2" s="1100"/>
      <c r="K2" s="1100"/>
      <c r="L2" s="1100"/>
      <c r="M2" s="1100"/>
      <c r="N2" s="1101"/>
    </row>
    <row r="3" spans="1:15" s="1097" customFormat="1" ht="18" hidden="1" customHeight="1">
      <c r="A3" s="1096" t="str">
        <f>"R:A1:P"&amp;ROW(A129)+1</f>
        <v>R:A1:P130</v>
      </c>
      <c r="B3" s="1102"/>
      <c r="C3" s="1103"/>
      <c r="D3" s="1104"/>
      <c r="E3" s="1105"/>
      <c r="F3" s="1106"/>
      <c r="G3" s="1107"/>
      <c r="H3" s="1107"/>
      <c r="I3" s="1107"/>
      <c r="J3" s="1107"/>
      <c r="K3" s="1107"/>
    </row>
    <row r="4" spans="1:15" s="1097" customFormat="1" ht="18" hidden="1" customHeight="1">
      <c r="A4" s="1096"/>
      <c r="B4" s="1102"/>
      <c r="C4" s="1103"/>
      <c r="D4" s="1108"/>
      <c r="E4" s="1109"/>
      <c r="F4" s="1110"/>
      <c r="G4" s="1111">
        <f>N5</f>
        <v>0</v>
      </c>
      <c r="H4" s="1107"/>
      <c r="I4" s="1107"/>
      <c r="J4" s="1107"/>
      <c r="K4" s="1107"/>
    </row>
    <row r="5" spans="1:15" s="1097" customFormat="1" ht="18" hidden="1" customHeight="1">
      <c r="A5" s="1096"/>
      <c r="B5" s="1102"/>
      <c r="C5" s="1103"/>
      <c r="D5" s="1112"/>
      <c r="E5" s="1113"/>
      <c r="F5" s="1114"/>
      <c r="N5" s="1097">
        <f>COUNTIF(I12:M68,"&lt;&gt;0")-COUNTBLANK(I12:M68)+COUNTIF(E68:H73,"&lt;&gt;0")-COUNTBLANK(E68:H73)</f>
        <v>0</v>
      </c>
    </row>
    <row r="6" spans="1:15" s="1116" customFormat="1">
      <c r="A6" s="1100" t="s">
        <v>718</v>
      </c>
      <c r="B6" s="1115"/>
    </row>
    <row r="7" spans="1:15">
      <c r="A7" s="1100" t="s">
        <v>718</v>
      </c>
      <c r="B7" s="271" t="s">
        <v>1872</v>
      </c>
      <c r="C7" s="271"/>
      <c r="D7" s="271"/>
    </row>
    <row r="8" spans="1:15">
      <c r="A8" s="1100" t="s">
        <v>718</v>
      </c>
      <c r="B8" s="271"/>
      <c r="C8" s="271"/>
      <c r="D8" s="271"/>
    </row>
    <row r="9" spans="1:15">
      <c r="A9" s="1100" t="s">
        <v>718</v>
      </c>
      <c r="B9" s="603" t="s">
        <v>675</v>
      </c>
      <c r="C9" s="271"/>
      <c r="D9" s="592"/>
    </row>
    <row r="10" spans="1:15">
      <c r="A10" s="1100" t="s">
        <v>718</v>
      </c>
      <c r="B10" s="271"/>
      <c r="C10" s="271"/>
      <c r="D10" s="271"/>
    </row>
    <row r="11" spans="1:15" ht="12.75" customHeight="1">
      <c r="A11" s="1100" t="s">
        <v>718</v>
      </c>
      <c r="B11" s="472"/>
      <c r="C11" s="2060" t="s">
        <v>80</v>
      </c>
      <c r="D11" s="473"/>
      <c r="E11" s="2046" t="s">
        <v>57</v>
      </c>
      <c r="F11" s="2048"/>
      <c r="G11" s="2046" t="s">
        <v>81</v>
      </c>
      <c r="H11" s="2048"/>
    </row>
    <row r="12" spans="1:15" ht="21">
      <c r="A12" s="1100" t="s">
        <v>718</v>
      </c>
      <c r="B12" s="474"/>
      <c r="C12" s="2061"/>
      <c r="D12" s="475" t="s">
        <v>552</v>
      </c>
      <c r="E12" s="1487" t="s">
        <v>140</v>
      </c>
      <c r="F12" s="1487" t="s">
        <v>141</v>
      </c>
      <c r="G12" s="1487" t="s">
        <v>399</v>
      </c>
      <c r="H12" s="1485" t="s">
        <v>143</v>
      </c>
    </row>
    <row r="13" spans="1:15" ht="31.5">
      <c r="A13" s="1100" t="s">
        <v>718</v>
      </c>
      <c r="B13" s="474"/>
      <c r="C13" s="2061"/>
      <c r="D13" s="476"/>
      <c r="E13" s="477" t="s">
        <v>1889</v>
      </c>
      <c r="F13" s="477" t="s">
        <v>1889</v>
      </c>
      <c r="G13" s="465" t="s">
        <v>1618</v>
      </c>
      <c r="H13" s="465" t="s">
        <v>1618</v>
      </c>
    </row>
    <row r="14" spans="1:15">
      <c r="A14" s="1100" t="s">
        <v>718</v>
      </c>
      <c r="B14" s="478"/>
      <c r="C14" s="479"/>
      <c r="D14" s="480"/>
      <c r="E14" s="469" t="s">
        <v>292</v>
      </c>
      <c r="F14" s="469" t="s">
        <v>293</v>
      </c>
      <c r="G14" s="469" t="s">
        <v>294</v>
      </c>
      <c r="H14" s="469" t="s">
        <v>295</v>
      </c>
    </row>
    <row r="15" spans="1:15">
      <c r="A15" s="1156" t="str">
        <f t="shared" ref="A15:A67" si="0">$A$1&amp;"_"&amp;B15</f>
        <v>F-11.01_010</v>
      </c>
      <c r="B15" s="430" t="s">
        <v>292</v>
      </c>
      <c r="C15" s="321" t="s">
        <v>83</v>
      </c>
      <c r="D15" s="1558" t="s">
        <v>1873</v>
      </c>
      <c r="E15" s="689">
        <f>SUM($E$16:$E$19)</f>
        <v>0</v>
      </c>
      <c r="F15" s="689">
        <f>SUM($F$16:$F$19)</f>
        <v>0</v>
      </c>
      <c r="G15" s="689">
        <f>SUM($G$16:$G$19)</f>
        <v>0</v>
      </c>
      <c r="H15" s="916"/>
      <c r="I15" s="668">
        <f>IF($H$15&lt;=$G$15,0,"c040,r10&lt;=c030,r10")</f>
        <v>0</v>
      </c>
      <c r="J15" s="668">
        <f>IF($H$15&gt;=0,0,"F11.1,c40&gt;=0")</f>
        <v>0</v>
      </c>
      <c r="K15" s="668">
        <f>IF($E$15&gt;=0,0,"F11.1,c10&gt;=0")</f>
        <v>0</v>
      </c>
      <c r="L15" s="668">
        <f>IF($F$15&gt;=0,0,"F11.1,c20&gt;=0")</f>
        <v>0</v>
      </c>
      <c r="M15" s="668">
        <f>IF($G$15&gt;=0,0,"F11.1,c30&gt;=0")</f>
        <v>0</v>
      </c>
    </row>
    <row r="16" spans="1:15">
      <c r="A16" s="1156" t="str">
        <f t="shared" si="0"/>
        <v>F-11.01_020</v>
      </c>
      <c r="B16" s="430" t="s">
        <v>293</v>
      </c>
      <c r="C16" s="258" t="s">
        <v>84</v>
      </c>
      <c r="D16" s="241" t="s">
        <v>1874</v>
      </c>
      <c r="E16" s="911"/>
      <c r="F16" s="911"/>
      <c r="G16" s="911"/>
      <c r="H16" s="911"/>
      <c r="I16" s="668">
        <f>IF($H$16&lt;=$G$16,0,"c040,r20&lt;=c030,r20")</f>
        <v>0</v>
      </c>
      <c r="J16" s="668">
        <f>IF($H$16&gt;=0,0,"F11.1,c40&gt;=0")</f>
        <v>0</v>
      </c>
      <c r="K16" s="668">
        <f>IF($E$16&gt;=0,0,"F11.1,c10&gt;=0")</f>
        <v>0</v>
      </c>
      <c r="L16" s="668">
        <f>IF($F$16&gt;=0,0,"F11.1,c20&gt;=0")</f>
        <v>0</v>
      </c>
      <c r="M16" s="668">
        <f>IF($G$16&gt;=0,0,"F11.1,c30&gt;=0")</f>
        <v>0</v>
      </c>
    </row>
    <row r="17" spans="1:13">
      <c r="A17" s="1156" t="str">
        <f t="shared" si="0"/>
        <v>F-11.01_030</v>
      </c>
      <c r="B17" s="431" t="s">
        <v>294</v>
      </c>
      <c r="C17" s="258" t="s">
        <v>85</v>
      </c>
      <c r="D17" s="241" t="s">
        <v>1874</v>
      </c>
      <c r="E17" s="911"/>
      <c r="F17" s="911"/>
      <c r="G17" s="911"/>
      <c r="H17" s="687"/>
      <c r="I17" s="668"/>
      <c r="J17" s="669"/>
      <c r="K17" s="668">
        <f>IF($E$17&gt;=0,0,"F11.1,c10&gt;=0")</f>
        <v>0</v>
      </c>
      <c r="L17" s="668">
        <f>IF($F$17&gt;=0,0,"F11.1,c20&gt;=0")</f>
        <v>0</v>
      </c>
      <c r="M17" s="668">
        <f>IF($G$17&gt;=0,0,"F11.1,c30&gt;=0")</f>
        <v>0</v>
      </c>
    </row>
    <row r="18" spans="1:13">
      <c r="A18" s="1156" t="str">
        <f t="shared" si="0"/>
        <v>F-11.01_040</v>
      </c>
      <c r="B18" s="431" t="s">
        <v>295</v>
      </c>
      <c r="C18" s="258" t="s">
        <v>86</v>
      </c>
      <c r="D18" s="241" t="s">
        <v>1874</v>
      </c>
      <c r="E18" s="911"/>
      <c r="F18" s="911"/>
      <c r="G18" s="911"/>
      <c r="H18" s="911"/>
      <c r="I18" s="668">
        <f>IF($H$18&lt;=$G$18,0,"c040,r40&lt;=c030,r40")</f>
        <v>0</v>
      </c>
      <c r="J18" s="668">
        <f>IF($H$18&gt;=0,0,"F11.1,c40&gt;=0")</f>
        <v>0</v>
      </c>
      <c r="K18" s="668">
        <f>IF($E$18&gt;=0,0,"F11.1,c10&gt;=0")</f>
        <v>0</v>
      </c>
      <c r="L18" s="668">
        <f>IF($F$18&gt;=0,0,"F11.1,c20&gt;=0")</f>
        <v>0</v>
      </c>
      <c r="M18" s="668">
        <f>IF($G$18&gt;=0,0,"F11.1,c30&gt;=0")</f>
        <v>0</v>
      </c>
    </row>
    <row r="19" spans="1:13">
      <c r="A19" s="1156" t="str">
        <f t="shared" si="0"/>
        <v>F-11.01_050</v>
      </c>
      <c r="B19" s="431" t="s">
        <v>296</v>
      </c>
      <c r="C19" s="258" t="s">
        <v>87</v>
      </c>
      <c r="D19" s="241" t="s">
        <v>1874</v>
      </c>
      <c r="E19" s="911"/>
      <c r="F19" s="911"/>
      <c r="G19" s="911"/>
      <c r="H19" s="687"/>
      <c r="I19" s="668"/>
      <c r="J19" s="669"/>
      <c r="K19" s="668">
        <f>IF($E$19&gt;=0,0,"F11.1,c10&gt;=0")</f>
        <v>0</v>
      </c>
      <c r="L19" s="668">
        <f>IF($F$19&gt;=0,0,"F11.1,c20&gt;=0")</f>
        <v>0</v>
      </c>
      <c r="M19" s="668">
        <f>IF($G$19&gt;=0,0,"F11.1,c30&gt;=0")</f>
        <v>0</v>
      </c>
    </row>
    <row r="20" spans="1:13">
      <c r="A20" s="1156" t="str">
        <f t="shared" si="0"/>
        <v>F-11.01_060</v>
      </c>
      <c r="B20" s="431" t="s">
        <v>297</v>
      </c>
      <c r="C20" s="255" t="s">
        <v>88</v>
      </c>
      <c r="D20" s="241" t="s">
        <v>1875</v>
      </c>
      <c r="E20" s="686">
        <f>SUM($E$21:$E$24)</f>
        <v>0</v>
      </c>
      <c r="F20" s="686">
        <f>SUM($F$21:$F$24)</f>
        <v>0</v>
      </c>
      <c r="G20" s="686">
        <f>SUM($G$21:$G$24)</f>
        <v>0</v>
      </c>
      <c r="H20" s="909"/>
      <c r="I20" s="668">
        <f>IF($H$20&lt;=$G$20,0,"c040,r60&lt;=c030,r60")</f>
        <v>0</v>
      </c>
      <c r="J20" s="668">
        <f>IF($H$20&gt;=0,0,"F11.1,c40&gt;=0")</f>
        <v>0</v>
      </c>
      <c r="K20" s="668">
        <f>IF($E$20&gt;=0,0,"F11.1,c10&gt;=0")</f>
        <v>0</v>
      </c>
      <c r="L20" s="668">
        <f>IF($F$20&gt;=0,0,"F11.1,c20&gt;=0")</f>
        <v>0</v>
      </c>
      <c r="M20" s="668">
        <f>IF($G$20&gt;=0,0,"F11.1,c30&gt;=0")</f>
        <v>0</v>
      </c>
    </row>
    <row r="21" spans="1:13">
      <c r="A21" s="1156" t="str">
        <f t="shared" si="0"/>
        <v>F-11.01_070</v>
      </c>
      <c r="B21" s="431" t="s">
        <v>298</v>
      </c>
      <c r="C21" s="258" t="s">
        <v>84</v>
      </c>
      <c r="D21" s="241" t="s">
        <v>1874</v>
      </c>
      <c r="E21" s="911"/>
      <c r="F21" s="911"/>
      <c r="G21" s="911"/>
      <c r="H21" s="911"/>
      <c r="I21" s="668">
        <f>IF($H$21&lt;=$G$21,0,"c040,r70&lt;=c030,r70")</f>
        <v>0</v>
      </c>
      <c r="J21" s="668">
        <f>IF($H$21&gt;=0,0,"F11.1,c40&gt;=0")</f>
        <v>0</v>
      </c>
      <c r="K21" s="668">
        <f>IF($E$21&gt;=0,0,"F11.1,c10&gt;=0")</f>
        <v>0</v>
      </c>
      <c r="L21" s="668">
        <f>IF($F$21&gt;=0,0,"F11.1,c20&gt;=0")</f>
        <v>0</v>
      </c>
      <c r="M21" s="668">
        <f>IF($G$21&gt;=0,0,"F11.1,c30&gt;=0")</f>
        <v>0</v>
      </c>
    </row>
    <row r="22" spans="1:13">
      <c r="A22" s="1156" t="str">
        <f t="shared" si="0"/>
        <v>F-11.01_080</v>
      </c>
      <c r="B22" s="431" t="s">
        <v>299</v>
      </c>
      <c r="C22" s="258" t="s">
        <v>85</v>
      </c>
      <c r="D22" s="241" t="s">
        <v>1874</v>
      </c>
      <c r="E22" s="911"/>
      <c r="F22" s="911"/>
      <c r="G22" s="911"/>
      <c r="H22" s="687"/>
      <c r="I22" s="668"/>
      <c r="J22" s="669"/>
      <c r="K22" s="668">
        <f>IF($E$22&gt;=0,0,"F11.1,c10&gt;=0")</f>
        <v>0</v>
      </c>
      <c r="L22" s="668">
        <f>IF($F$22&gt;=0,0,"F11.1,c20&gt;=0")</f>
        <v>0</v>
      </c>
      <c r="M22" s="668">
        <f>IF($G$22&gt;=0,0,"F11.1,c30&gt;=0")</f>
        <v>0</v>
      </c>
    </row>
    <row r="23" spans="1:13">
      <c r="A23" s="1156" t="str">
        <f t="shared" si="0"/>
        <v>F-11.01_090</v>
      </c>
      <c r="B23" s="431" t="s">
        <v>300</v>
      </c>
      <c r="C23" s="258" t="s">
        <v>86</v>
      </c>
      <c r="D23" s="241" t="s">
        <v>1874</v>
      </c>
      <c r="E23" s="911"/>
      <c r="F23" s="911"/>
      <c r="G23" s="911"/>
      <c r="H23" s="911"/>
      <c r="I23" s="668">
        <f>IF($H$23&lt;=$G$23,0,"c040,r90&lt;=c030,r90")</f>
        <v>0</v>
      </c>
      <c r="J23" s="668">
        <f>IF($H$23&gt;=0,0,"F11.1,c40&gt;=0")</f>
        <v>0</v>
      </c>
      <c r="K23" s="668">
        <f>IF($E$23&gt;=0,0,"F11.1,c10&gt;=0")</f>
        <v>0</v>
      </c>
      <c r="L23" s="668">
        <f>IF($F$23&gt;=0,0,"F11.1,c20&gt;=0")</f>
        <v>0</v>
      </c>
      <c r="M23" s="668">
        <f>IF($G$23&gt;=0,0,"F11.1,c30&gt;=0")</f>
        <v>0</v>
      </c>
    </row>
    <row r="24" spans="1:13">
      <c r="A24" s="1156" t="str">
        <f t="shared" si="0"/>
        <v>F-11.01_100</v>
      </c>
      <c r="B24" s="431" t="s">
        <v>301</v>
      </c>
      <c r="C24" s="258" t="s">
        <v>87</v>
      </c>
      <c r="D24" s="241" t="s">
        <v>1874</v>
      </c>
      <c r="E24" s="911"/>
      <c r="F24" s="911"/>
      <c r="G24" s="911"/>
      <c r="H24" s="687"/>
      <c r="I24" s="668"/>
      <c r="J24" s="669"/>
      <c r="K24" s="668">
        <f>IF($E$24&gt;=0,0,"F11.1,c10&gt;=0")</f>
        <v>0</v>
      </c>
      <c r="L24" s="668">
        <f>IF($F$24&gt;=0,0,"F11.1,c20&gt;=0")</f>
        <v>0</v>
      </c>
      <c r="M24" s="668">
        <f>IF($G$24&gt;=0,0,"F11.1,c30&gt;=0")</f>
        <v>0</v>
      </c>
    </row>
    <row r="25" spans="1:13">
      <c r="A25" s="1156" t="str">
        <f t="shared" si="0"/>
        <v>F-11.01_110</v>
      </c>
      <c r="B25" s="431" t="s">
        <v>302</v>
      </c>
      <c r="C25" s="255" t="s">
        <v>406</v>
      </c>
      <c r="D25" s="241" t="s">
        <v>1876</v>
      </c>
      <c r="E25" s="686">
        <f>SUM($E$26:$E$29)</f>
        <v>0</v>
      </c>
      <c r="F25" s="686">
        <f>SUM($F$26:$F$29)</f>
        <v>0</v>
      </c>
      <c r="G25" s="686">
        <f>SUM($G$26:$G$29)</f>
        <v>0</v>
      </c>
      <c r="H25" s="909"/>
      <c r="I25" s="668">
        <f>IF($H$25&lt;=$G$25,0,"c040,r110&lt;=c030,r110")</f>
        <v>0</v>
      </c>
      <c r="J25" s="668">
        <f>IF($H$25&gt;=0,0,"F11.1,c40&gt;=0")</f>
        <v>0</v>
      </c>
      <c r="K25" s="668">
        <f>IF($E$25&gt;=0,0,"F11.1,c10&gt;=0")</f>
        <v>0</v>
      </c>
      <c r="L25" s="668">
        <f>IF($F$25&gt;=0,0,"F11.1,c20&gt;=0")</f>
        <v>0</v>
      </c>
      <c r="M25" s="668">
        <f>IF($G$25&gt;=0,0,"F11.1,c30&gt;=0")</f>
        <v>0</v>
      </c>
    </row>
    <row r="26" spans="1:13">
      <c r="A26" s="1156" t="str">
        <f t="shared" si="0"/>
        <v>F-11.01_120</v>
      </c>
      <c r="B26" s="431" t="s">
        <v>303</v>
      </c>
      <c r="C26" s="259" t="s">
        <v>84</v>
      </c>
      <c r="D26" s="241" t="s">
        <v>1874</v>
      </c>
      <c r="E26" s="911"/>
      <c r="F26" s="911"/>
      <c r="G26" s="911"/>
      <c r="H26" s="911"/>
      <c r="I26" s="668">
        <f>IF($H$26&lt;=$G$26,0,"c040,r120&lt;=c030,r120")</f>
        <v>0</v>
      </c>
      <c r="J26" s="668">
        <f>IF($H$26&gt;=0,0,"F11.1,c40&gt;=0")</f>
        <v>0</v>
      </c>
      <c r="K26" s="668">
        <f>IF($E$26&gt;=0,0,"F11.1,c10&gt;=0")</f>
        <v>0</v>
      </c>
      <c r="L26" s="668">
        <f>IF($F$26&gt;=0,0,"F11.1,c20&gt;=0")</f>
        <v>0</v>
      </c>
      <c r="M26" s="668">
        <f>IF($G$26&gt;=0,0,"F11.1,c30&gt;=0")</f>
        <v>0</v>
      </c>
    </row>
    <row r="27" spans="1:13">
      <c r="A27" s="1156" t="str">
        <f t="shared" si="0"/>
        <v>F-11.01_130</v>
      </c>
      <c r="B27" s="431" t="s">
        <v>304</v>
      </c>
      <c r="C27" s="259" t="s">
        <v>85</v>
      </c>
      <c r="D27" s="241" t="s">
        <v>1874</v>
      </c>
      <c r="E27" s="911"/>
      <c r="F27" s="911"/>
      <c r="G27" s="911"/>
      <c r="H27" s="687"/>
      <c r="I27" s="668"/>
      <c r="J27" s="669"/>
      <c r="K27" s="668">
        <f>IF($E$27&gt;=0,0,"F11.1,c10&gt;=0")</f>
        <v>0</v>
      </c>
      <c r="L27" s="668">
        <f>IF($F$27&gt;=0,0,"F11.1,c20&gt;=0")</f>
        <v>0</v>
      </c>
      <c r="M27" s="668">
        <f>IF($G$27&gt;=0,0,"F11.1,c30&gt;=0")</f>
        <v>0</v>
      </c>
    </row>
    <row r="28" spans="1:13">
      <c r="A28" s="1156" t="str">
        <f t="shared" si="0"/>
        <v>F-11.01_140</v>
      </c>
      <c r="B28" s="431" t="s">
        <v>305</v>
      </c>
      <c r="C28" s="259" t="s">
        <v>86</v>
      </c>
      <c r="D28" s="241" t="s">
        <v>1874</v>
      </c>
      <c r="E28" s="911"/>
      <c r="F28" s="911"/>
      <c r="G28" s="911"/>
      <c r="H28" s="911"/>
      <c r="I28" s="668">
        <f>IF($H$28&lt;=$G$28,0,"c040,r130&lt;=c030,r130")</f>
        <v>0</v>
      </c>
      <c r="J28" s="668">
        <f>IF($H$28&gt;=0,0,"F11.1,c40&gt;=0")</f>
        <v>0</v>
      </c>
      <c r="K28" s="668">
        <f>IF($E$28&gt;=0,0,"F11.1,c10&gt;=0")</f>
        <v>0</v>
      </c>
      <c r="L28" s="668">
        <f>IF($F$28&gt;=0,0,"F11.1,c20&gt;=0")</f>
        <v>0</v>
      </c>
      <c r="M28" s="668">
        <f>IF($G$28&gt;=0,0,"F11.1,c30&gt;=0")</f>
        <v>0</v>
      </c>
    </row>
    <row r="29" spans="1:13">
      <c r="A29" s="1156" t="str">
        <f t="shared" si="0"/>
        <v>F-11.01_150</v>
      </c>
      <c r="B29" s="431" t="s">
        <v>306</v>
      </c>
      <c r="C29" s="259" t="s">
        <v>87</v>
      </c>
      <c r="D29" s="241" t="s">
        <v>1874</v>
      </c>
      <c r="E29" s="911"/>
      <c r="F29" s="911"/>
      <c r="G29" s="911"/>
      <c r="H29" s="687"/>
      <c r="I29" s="668"/>
      <c r="J29" s="669"/>
      <c r="K29" s="668">
        <f>IF($E$29&gt;=0,0,"F11.1,c10&gt;=0")</f>
        <v>0</v>
      </c>
      <c r="L29" s="668">
        <f>IF($F$29&gt;=0,0,"F11.1,c20&gt;=0")</f>
        <v>0</v>
      </c>
      <c r="M29" s="668">
        <f>IF($G$29&gt;=0,0,"F11.1,c30&gt;=0")</f>
        <v>0</v>
      </c>
    </row>
    <row r="30" spans="1:13">
      <c r="A30" s="1156" t="str">
        <f t="shared" si="0"/>
        <v>F-11.01_160</v>
      </c>
      <c r="B30" s="431" t="s">
        <v>307</v>
      </c>
      <c r="C30" s="255" t="s">
        <v>89</v>
      </c>
      <c r="D30" s="241" t="s">
        <v>1877</v>
      </c>
      <c r="E30" s="686">
        <f>SUM($E$31:$E$34)</f>
        <v>0</v>
      </c>
      <c r="F30" s="686">
        <f>SUM($F$31:$F$34)</f>
        <v>0</v>
      </c>
      <c r="G30" s="686">
        <f>SUM($G$31:$G$34)</f>
        <v>0</v>
      </c>
      <c r="H30" s="686">
        <f>SUM($H$31:$H$34)</f>
        <v>0</v>
      </c>
      <c r="I30" s="668">
        <f>IF($H$30&lt;=$G$30,0,"c040,r160&lt;=c030,r160")</f>
        <v>0</v>
      </c>
      <c r="J30" s="668">
        <f>IF($H$30&gt;=0,0,"F11.1,c40&gt;=0")</f>
        <v>0</v>
      </c>
      <c r="K30" s="668">
        <f>IF($E$30&gt;=0,0,"F11.1,c10&gt;=0")</f>
        <v>0</v>
      </c>
      <c r="L30" s="668">
        <f>IF($F$30&gt;=0,0,"F11.1,c20&gt;=0")</f>
        <v>0</v>
      </c>
      <c r="M30" s="668">
        <f>IF($G$30&gt;=0,0,"F11.1,c30&gt;=0")</f>
        <v>0</v>
      </c>
    </row>
    <row r="31" spans="1:13">
      <c r="A31" s="1156" t="str">
        <f t="shared" si="0"/>
        <v>F-11.01_170</v>
      </c>
      <c r="B31" s="431" t="s">
        <v>308</v>
      </c>
      <c r="C31" s="259" t="s">
        <v>90</v>
      </c>
      <c r="D31" s="241" t="s">
        <v>1874</v>
      </c>
      <c r="E31" s="911"/>
      <c r="F31" s="911"/>
      <c r="G31" s="911"/>
      <c r="H31" s="911"/>
      <c r="I31" s="668">
        <f>IF($H$31&lt;=$G$31,0,"c040,r170&lt;=c030,r170")</f>
        <v>0</v>
      </c>
      <c r="J31" s="668">
        <f>IF($H$31&gt;=0,0,"F11.1,c40&gt;=0")</f>
        <v>0</v>
      </c>
      <c r="K31" s="668">
        <f>IF($E$31&gt;=0,0,"F11.1,c10&gt;=0")</f>
        <v>0</v>
      </c>
      <c r="L31" s="668">
        <f>IF($F$31&gt;=0,0,"F11.1,c20&gt;=0")</f>
        <v>0</v>
      </c>
      <c r="M31" s="668">
        <f>IF($G$31&gt;=0,0,"F11.1,c30&gt;=0")</f>
        <v>0</v>
      </c>
    </row>
    <row r="32" spans="1:13">
      <c r="A32" s="1156" t="str">
        <f t="shared" si="0"/>
        <v>F-11.01_180</v>
      </c>
      <c r="B32" s="431" t="s">
        <v>309</v>
      </c>
      <c r="C32" s="259" t="s">
        <v>91</v>
      </c>
      <c r="D32" s="241" t="s">
        <v>1874</v>
      </c>
      <c r="E32" s="911"/>
      <c r="F32" s="911"/>
      <c r="G32" s="911"/>
      <c r="H32" s="911"/>
      <c r="I32" s="668">
        <f>IF($H$32&lt;=$G$32,0,"c040,r180&lt;=c030,r180")</f>
        <v>0</v>
      </c>
      <c r="J32" s="668">
        <f>IF($H$32&gt;=0,0,"F11.1,c40&gt;=0")</f>
        <v>0</v>
      </c>
      <c r="K32" s="668">
        <f>IF($E$32&gt;=0,0,"F11.1,c10&gt;=0")</f>
        <v>0</v>
      </c>
      <c r="L32" s="668">
        <f>IF($F$32&gt;=0,0,"F11.1,c20&gt;=0")</f>
        <v>0</v>
      </c>
      <c r="M32" s="668">
        <f>IF($G$32&gt;=0,0,"F11.1,c30&gt;=0")</f>
        <v>0</v>
      </c>
    </row>
    <row r="33" spans="1:13">
      <c r="A33" s="1156" t="str">
        <f t="shared" si="0"/>
        <v>F-11.01_190</v>
      </c>
      <c r="B33" s="431" t="s">
        <v>310</v>
      </c>
      <c r="C33" s="259" t="s">
        <v>92</v>
      </c>
      <c r="D33" s="241" t="s">
        <v>1874</v>
      </c>
      <c r="E33" s="911"/>
      <c r="F33" s="911"/>
      <c r="G33" s="911"/>
      <c r="H33" s="911"/>
      <c r="I33" s="668">
        <f>IF($H$33&lt;=$G$33,0,"c040,r190&lt;=c030,r190")</f>
        <v>0</v>
      </c>
      <c r="J33" s="668">
        <f>IF($H$33&gt;=0,0,"F11.1,c40&gt;=0")</f>
        <v>0</v>
      </c>
      <c r="K33" s="668">
        <f>IF($E$33&gt;=0,0,"F11.1,c10&gt;=0")</f>
        <v>0</v>
      </c>
      <c r="L33" s="668">
        <f>IF($F$33&gt;=0,0,"F11.1,c20&gt;=0")</f>
        <v>0</v>
      </c>
      <c r="M33" s="668">
        <f>IF($G$33&gt;=0,0,"F11.1,c30&gt;=0")</f>
        <v>0</v>
      </c>
    </row>
    <row r="34" spans="1:13">
      <c r="A34" s="1156" t="str">
        <f t="shared" si="0"/>
        <v>F-11.01_200</v>
      </c>
      <c r="B34" s="431" t="s">
        <v>311</v>
      </c>
      <c r="C34" s="259" t="s">
        <v>93</v>
      </c>
      <c r="D34" s="241" t="s">
        <v>1874</v>
      </c>
      <c r="E34" s="911"/>
      <c r="F34" s="911"/>
      <c r="G34" s="911"/>
      <c r="H34" s="911"/>
      <c r="I34" s="668">
        <f>IF($H$34&lt;=$G$34,0,"c040,r200&lt;=c030,r200")</f>
        <v>0</v>
      </c>
      <c r="J34" s="668">
        <f>IF($H$34&gt;=0,0,"F11.1,c40&gt;=0")</f>
        <v>0</v>
      </c>
      <c r="K34" s="668">
        <f>IF($E$34&gt;=0,0,"F11.1,c10&gt;=0")</f>
        <v>0</v>
      </c>
      <c r="L34" s="668">
        <f>IF($F$34&gt;=0,0,"F11.1,c20&gt;=0")</f>
        <v>0</v>
      </c>
      <c r="M34" s="668">
        <f>IF($G$34&gt;=0,0,"F11.1,c30&gt;=0")</f>
        <v>0</v>
      </c>
    </row>
    <row r="35" spans="1:13">
      <c r="A35" s="1156" t="str">
        <f t="shared" si="0"/>
        <v>F-11.01_210</v>
      </c>
      <c r="B35" s="431" t="s">
        <v>312</v>
      </c>
      <c r="C35" s="255" t="s">
        <v>94</v>
      </c>
      <c r="D35" s="241" t="s">
        <v>1878</v>
      </c>
      <c r="E35" s="909"/>
      <c r="F35" s="909"/>
      <c r="G35" s="909"/>
      <c r="H35" s="909"/>
      <c r="I35" s="668">
        <f>IF($H$35&lt;=$G$35,0,"c040,r210&lt;=c030,r210")</f>
        <v>0</v>
      </c>
      <c r="J35" s="668">
        <f>IF($H$35&gt;=0,0,"F11.1,c40&gt;=0")</f>
        <v>0</v>
      </c>
      <c r="K35" s="668">
        <f>IF($E$35&gt;=0,0,"F11.1,c10&gt;=0")</f>
        <v>0</v>
      </c>
      <c r="L35" s="668">
        <f>IF($F$35&gt;=0,0,"F11.1,c20&gt;=0")</f>
        <v>0</v>
      </c>
      <c r="M35" s="668">
        <f>IF($G$35&gt;=0,0,"F11.1,c30&gt;=0")</f>
        <v>0</v>
      </c>
    </row>
    <row r="36" spans="1:13">
      <c r="A36" s="1156" t="str">
        <f t="shared" si="0"/>
        <v>F-11.01_220</v>
      </c>
      <c r="B36" s="481">
        <v>220</v>
      </c>
      <c r="C36" s="256" t="s">
        <v>93</v>
      </c>
      <c r="D36" s="241" t="s">
        <v>1879</v>
      </c>
      <c r="E36" s="917"/>
      <c r="F36" s="917"/>
      <c r="G36" s="917"/>
      <c r="H36" s="917"/>
      <c r="I36" s="668">
        <f>IF($H$36&lt;=$G$36,0,"c040,r220&lt;=c030,r220")</f>
        <v>0</v>
      </c>
      <c r="J36" s="668">
        <f>IF($H$36&gt;=0,0,"F11.1,c40&gt;=0")</f>
        <v>0</v>
      </c>
      <c r="K36" s="668">
        <f>IF($E$36&gt;=0,0,"F11.1,c10&gt;=0")</f>
        <v>0</v>
      </c>
      <c r="L36" s="668">
        <f>IF($F$36&gt;=0,0,"F11.1,c20&gt;=0")</f>
        <v>0</v>
      </c>
      <c r="M36" s="668">
        <f>IF($G$36&gt;=0,0,"F11.1,c30&gt;=0")</f>
        <v>0</v>
      </c>
    </row>
    <row r="37" spans="1:13" ht="21">
      <c r="A37" s="1156" t="str">
        <f t="shared" si="0"/>
        <v>F-11.01_230</v>
      </c>
      <c r="B37" s="432">
        <v>230</v>
      </c>
      <c r="C37" s="85" t="s">
        <v>472</v>
      </c>
      <c r="D37" s="351" t="s">
        <v>1880</v>
      </c>
      <c r="E37" s="688">
        <f>SUM($E$15+$E$20+$E$25+$E$30+$E$35+$E$36)</f>
        <v>0</v>
      </c>
      <c r="F37" s="688">
        <f>SUM($F$15+$F$20+$F$25+$F$30+$F$35+$F$36)</f>
        <v>0</v>
      </c>
      <c r="G37" s="688">
        <f>SUM($G$15+$G$20+$G$25+$G$30+$G$35+$G$36)</f>
        <v>0</v>
      </c>
      <c r="H37" s="688">
        <f>SUM($H$15+$H$20+$H$25+$H$30+$H$35+$H$36)</f>
        <v>0</v>
      </c>
      <c r="I37" s="668">
        <f>IF($H$37&lt;=$G$37,0,"c040,r230&lt;=c030,r230")</f>
        <v>0</v>
      </c>
      <c r="J37" s="668">
        <f>IF($H$37&gt;=0,0,"F11.1,c40&gt;=0")</f>
        <v>0</v>
      </c>
      <c r="K37" s="668">
        <f>IF($E$37&gt;=0,0,"F11.1,c10&gt;=0")</f>
        <v>0</v>
      </c>
      <c r="L37" s="668">
        <f>IF($F$37&gt;=0,0,"F11.1,c20&gt;=0")</f>
        <v>0</v>
      </c>
      <c r="M37" s="668">
        <f>IF($G$37&gt;=0,0,"F11.1,c30&gt;=0")</f>
        <v>0</v>
      </c>
    </row>
    <row r="38" spans="1:13">
      <c r="A38" s="1156" t="str">
        <f t="shared" si="0"/>
        <v>F-11.01_240</v>
      </c>
      <c r="B38" s="430">
        <v>240</v>
      </c>
      <c r="C38" s="321" t="s">
        <v>83</v>
      </c>
      <c r="D38" s="1558" t="s">
        <v>1873</v>
      </c>
      <c r="E38" s="1952">
        <f>SUM($E$39:$E$42)</f>
        <v>0</v>
      </c>
      <c r="F38" s="1952">
        <f>SUM($F$39:$F$42)</f>
        <v>0</v>
      </c>
      <c r="G38" s="1952">
        <f>SUM($G$39:$G$42)</f>
        <v>0</v>
      </c>
      <c r="H38" s="918"/>
      <c r="I38" s="668">
        <f>IF($H$38&lt;=$G$38,0,"c040,r240&lt;=c030,r240")</f>
        <v>0</v>
      </c>
      <c r="J38" s="668">
        <f>IF($H$38&gt;=0,0,"F11.1,c40&gt;=0")</f>
        <v>0</v>
      </c>
      <c r="K38" s="668">
        <f>IF($E$38&gt;=0,0,"F11.1,c10&gt;=0")</f>
        <v>0</v>
      </c>
      <c r="L38" s="668">
        <f>IF($F$38&gt;=0,0,"F11.1,c20&gt;=0")</f>
        <v>0</v>
      </c>
      <c r="M38" s="668">
        <f>IF($G$38&gt;=0,0,"F11.1,c30&gt;=0")</f>
        <v>0</v>
      </c>
    </row>
    <row r="39" spans="1:13">
      <c r="A39" s="1156" t="str">
        <f t="shared" si="0"/>
        <v>F-11.01_250</v>
      </c>
      <c r="B39" s="431">
        <v>250</v>
      </c>
      <c r="C39" s="260" t="s">
        <v>84</v>
      </c>
      <c r="D39" s="241" t="s">
        <v>1874</v>
      </c>
      <c r="E39" s="911"/>
      <c r="F39" s="911"/>
      <c r="G39" s="911"/>
      <c r="H39" s="911"/>
      <c r="I39" s="668">
        <f>IF($H$39&lt;=$G$39,0,"c040,r250&lt;=c030,r250")</f>
        <v>0</v>
      </c>
      <c r="J39" s="668">
        <f>IF($H$39&gt;=0,0,"F11.1,c40&gt;=0")</f>
        <v>0</v>
      </c>
      <c r="K39" s="668">
        <f>IF($E$39&gt;=0,0,"F11.1,c10&gt;=0")</f>
        <v>0</v>
      </c>
      <c r="L39" s="668">
        <f>IF($F$39&gt;=0,0,"F11.1,c20&gt;=0")</f>
        <v>0</v>
      </c>
      <c r="M39" s="668">
        <f>IF($G$39&gt;=0,0,"F11.1,c30&gt;=0")</f>
        <v>0</v>
      </c>
    </row>
    <row r="40" spans="1:13">
      <c r="A40" s="1156" t="str">
        <f t="shared" si="0"/>
        <v>F-11.01_260</v>
      </c>
      <c r="B40" s="431">
        <v>260</v>
      </c>
      <c r="C40" s="259" t="s">
        <v>85</v>
      </c>
      <c r="D40" s="241" t="s">
        <v>1874</v>
      </c>
      <c r="E40" s="911"/>
      <c r="F40" s="911"/>
      <c r="G40" s="911"/>
      <c r="H40" s="687"/>
      <c r="I40" s="668"/>
      <c r="J40" s="669"/>
      <c r="K40" s="668">
        <f>IF($E$40&gt;=0,0,"F11.1,c10&gt;=0")</f>
        <v>0</v>
      </c>
      <c r="L40" s="668">
        <f>IF($F$40&gt;=0,0,"F11.1,c20&gt;=0")</f>
        <v>0</v>
      </c>
      <c r="M40" s="668">
        <f>IF($G$40&gt;=0,0,"F11.1,c30&gt;=0")</f>
        <v>0</v>
      </c>
    </row>
    <row r="41" spans="1:13">
      <c r="A41" s="1156" t="str">
        <f t="shared" si="0"/>
        <v>F-11.01_270</v>
      </c>
      <c r="B41" s="431">
        <v>270</v>
      </c>
      <c r="C41" s="259" t="s">
        <v>86</v>
      </c>
      <c r="D41" s="241" t="s">
        <v>1874</v>
      </c>
      <c r="E41" s="911"/>
      <c r="F41" s="911"/>
      <c r="G41" s="911"/>
      <c r="H41" s="911"/>
      <c r="I41" s="668">
        <f>IF($H$41&lt;=$G$41,0,"c040,r270&lt;=c030,r270")</f>
        <v>0</v>
      </c>
      <c r="J41" s="668">
        <f>IF($H$41&gt;=0,0,"F11.1,c40&gt;=0")</f>
        <v>0</v>
      </c>
      <c r="K41" s="668">
        <f>IF($E$41&gt;=0,0,"F11.1,c10&gt;=0")</f>
        <v>0</v>
      </c>
      <c r="L41" s="668">
        <f>IF($F$41&gt;=0,0,"F11.1,c20&gt;=0")</f>
        <v>0</v>
      </c>
      <c r="M41" s="668">
        <f>IF($G$41&gt;=0,0,"F11.1,c30&gt;=0")</f>
        <v>0</v>
      </c>
    </row>
    <row r="42" spans="1:13">
      <c r="A42" s="1156" t="str">
        <f t="shared" si="0"/>
        <v>F-11.01_280</v>
      </c>
      <c r="B42" s="431">
        <v>280</v>
      </c>
      <c r="C42" s="259" t="s">
        <v>87</v>
      </c>
      <c r="D42" s="241" t="s">
        <v>1874</v>
      </c>
      <c r="E42" s="911"/>
      <c r="F42" s="911"/>
      <c r="G42" s="911"/>
      <c r="H42" s="687"/>
      <c r="I42" s="668"/>
      <c r="J42" s="669"/>
      <c r="K42" s="668">
        <f>IF($E$42&gt;=0,0,"F11.1,c10&gt;=0")</f>
        <v>0</v>
      </c>
      <c r="L42" s="668">
        <f>IF($F$42&gt;=0,0,"F11.1,c20&gt;=0")</f>
        <v>0</v>
      </c>
      <c r="M42" s="668">
        <f>IF($G$42&gt;=0,0,"F11.1,c30&gt;=0")</f>
        <v>0</v>
      </c>
    </row>
    <row r="43" spans="1:13">
      <c r="A43" s="1156" t="str">
        <f t="shared" si="0"/>
        <v>F-11.01_290</v>
      </c>
      <c r="B43" s="431">
        <v>290</v>
      </c>
      <c r="C43" s="255" t="s">
        <v>88</v>
      </c>
      <c r="D43" s="241" t="s">
        <v>1875</v>
      </c>
      <c r="E43" s="686">
        <f>SUM($E$44:$E$47)</f>
        <v>0</v>
      </c>
      <c r="F43" s="686">
        <f>SUM($F$44:$F$47)</f>
        <v>0</v>
      </c>
      <c r="G43" s="686">
        <f>SUM($G$44:$G$47)</f>
        <v>0</v>
      </c>
      <c r="H43" s="911"/>
      <c r="I43" s="668">
        <f>IF($H$43&lt;=$G$43,0,"c040,r290&lt;=c030,r290")</f>
        <v>0</v>
      </c>
      <c r="J43" s="668">
        <f>IF($H$43&gt;=0,0,"F11.1,c40&gt;=0")</f>
        <v>0</v>
      </c>
      <c r="K43" s="668">
        <f>IF($E$43&gt;=0,0,"F11.1,c10&gt;=0")</f>
        <v>0</v>
      </c>
      <c r="L43" s="668">
        <f>IF($F$43&gt;=0,0,"F11.1,c20&gt;=0")</f>
        <v>0</v>
      </c>
      <c r="M43" s="668">
        <f>IF($G$43&gt;=0,0,"F11.1,c30&gt;=0")</f>
        <v>0</v>
      </c>
    </row>
    <row r="44" spans="1:13">
      <c r="A44" s="1156" t="str">
        <f t="shared" si="0"/>
        <v>F-11.01_300</v>
      </c>
      <c r="B44" s="431">
        <v>300</v>
      </c>
      <c r="C44" s="259" t="s">
        <v>84</v>
      </c>
      <c r="D44" s="241" t="s">
        <v>1874</v>
      </c>
      <c r="E44" s="911"/>
      <c r="F44" s="911"/>
      <c r="G44" s="911"/>
      <c r="H44" s="911"/>
      <c r="I44" s="668">
        <f>IF($H$44&lt;=$G$44,0,"c040,r300&lt;=c030,r300")</f>
        <v>0</v>
      </c>
      <c r="J44" s="668">
        <f>IF($H$44&gt;=0,0,"F11.1,c40&gt;=0")</f>
        <v>0</v>
      </c>
      <c r="K44" s="668">
        <f>IF($E$44&gt;=0,0,"F11.1,c10&gt;=0")</f>
        <v>0</v>
      </c>
      <c r="L44" s="668">
        <f>IF($F$44&gt;=0,0,"F11.1,c20&gt;=0")</f>
        <v>0</v>
      </c>
      <c r="M44" s="668">
        <f>IF($G$44&gt;=0,0,"F11.1,c30&gt;=0")</f>
        <v>0</v>
      </c>
    </row>
    <row r="45" spans="1:13">
      <c r="A45" s="1156" t="str">
        <f t="shared" si="0"/>
        <v>F-11.01_310</v>
      </c>
      <c r="B45" s="431">
        <v>310</v>
      </c>
      <c r="C45" s="259" t="s">
        <v>85</v>
      </c>
      <c r="D45" s="241" t="s">
        <v>1874</v>
      </c>
      <c r="E45" s="911"/>
      <c r="F45" s="911"/>
      <c r="G45" s="911"/>
      <c r="H45" s="687"/>
      <c r="I45" s="668"/>
      <c r="J45" s="669"/>
      <c r="K45" s="668">
        <f>IF($E$45&gt;=0,0,"F11.1,c10&gt;=0")</f>
        <v>0</v>
      </c>
      <c r="L45" s="668">
        <f>IF($F$45&gt;=0,0,"F11.1,c20&gt;=0")</f>
        <v>0</v>
      </c>
      <c r="M45" s="668">
        <f>IF($G$45&gt;=0,0,"F11.1,c30&gt;=0")</f>
        <v>0</v>
      </c>
    </row>
    <row r="46" spans="1:13">
      <c r="A46" s="1156" t="str">
        <f t="shared" si="0"/>
        <v>F-11.01_320</v>
      </c>
      <c r="B46" s="431">
        <v>320</v>
      </c>
      <c r="C46" s="259" t="s">
        <v>86</v>
      </c>
      <c r="D46" s="241" t="s">
        <v>1874</v>
      </c>
      <c r="E46" s="911"/>
      <c r="F46" s="911"/>
      <c r="G46" s="911"/>
      <c r="H46" s="911"/>
      <c r="I46" s="668">
        <f>IF($H$46&lt;=$G$46,0,"c040,r320&lt;=c030,r320")</f>
        <v>0</v>
      </c>
      <c r="J46" s="668">
        <f>IF($H$46&gt;=0,0,"F11.1,c40&gt;=0")</f>
        <v>0</v>
      </c>
      <c r="K46" s="668">
        <f>IF($E$46&gt;=0,0,"F11.1,c10&gt;=0")</f>
        <v>0</v>
      </c>
      <c r="L46" s="668">
        <f>IF($F$46&gt;=0,0,"F11.1,c20&gt;=0")</f>
        <v>0</v>
      </c>
      <c r="M46" s="668">
        <f>IF($G$46&gt;=0,0,"F11.1,c30&gt;=0")</f>
        <v>0</v>
      </c>
    </row>
    <row r="47" spans="1:13">
      <c r="A47" s="1156" t="str">
        <f t="shared" si="0"/>
        <v>F-11.01_330</v>
      </c>
      <c r="B47" s="431">
        <v>330</v>
      </c>
      <c r="C47" s="259" t="s">
        <v>87</v>
      </c>
      <c r="D47" s="241" t="s">
        <v>1874</v>
      </c>
      <c r="E47" s="911"/>
      <c r="F47" s="911"/>
      <c r="G47" s="911"/>
      <c r="H47" s="687"/>
      <c r="I47" s="668"/>
      <c r="J47" s="669"/>
      <c r="K47" s="668">
        <f>IF($E$47&gt;=0,0,"F11.1,c10&gt;=0")</f>
        <v>0</v>
      </c>
      <c r="L47" s="668">
        <f>IF($F$47&gt;=0,0,"F11.1,c20&gt;=0")</f>
        <v>0</v>
      </c>
      <c r="M47" s="668">
        <f>IF($G$47&gt;=0,0,"F11.1,c30&gt;=0")</f>
        <v>0</v>
      </c>
    </row>
    <row r="48" spans="1:13">
      <c r="A48" s="1156" t="str">
        <f t="shared" si="0"/>
        <v>F-11.01_340</v>
      </c>
      <c r="B48" s="431">
        <v>340</v>
      </c>
      <c r="C48" s="255" t="s">
        <v>406</v>
      </c>
      <c r="D48" s="241" t="s">
        <v>1876</v>
      </c>
      <c r="E48" s="686">
        <f>SUM($E$49:$E$52)</f>
        <v>0</v>
      </c>
      <c r="F48" s="686">
        <f>SUM($F$49:$F$52)</f>
        <v>0</v>
      </c>
      <c r="G48" s="686">
        <f>SUM($G$49:$G$52)</f>
        <v>0</v>
      </c>
      <c r="H48" s="911"/>
      <c r="I48" s="668">
        <f>IF($H$48&lt;=$G$48,0,"c040,r340&lt;=c030,340")</f>
        <v>0</v>
      </c>
      <c r="J48" s="668">
        <f>IF($H$48&gt;=0,0,"F11.1,c40&gt;=0")</f>
        <v>0</v>
      </c>
      <c r="K48" s="668">
        <f>IF($E$48&gt;=0,0,"F11.1,c10&gt;=0")</f>
        <v>0</v>
      </c>
      <c r="L48" s="668">
        <f>IF($F$48&gt;=0,0,"F11.1,c20&gt;=0")</f>
        <v>0</v>
      </c>
      <c r="M48" s="668">
        <f>IF($G$48&gt;=0,0,"F11.1,c30&gt;=0")</f>
        <v>0</v>
      </c>
    </row>
    <row r="49" spans="1:13">
      <c r="A49" s="1156" t="str">
        <f t="shared" si="0"/>
        <v>F-11.01_350</v>
      </c>
      <c r="B49" s="431">
        <v>350</v>
      </c>
      <c r="C49" s="259" t="s">
        <v>84</v>
      </c>
      <c r="D49" s="241" t="s">
        <v>1874</v>
      </c>
      <c r="E49" s="911"/>
      <c r="F49" s="911"/>
      <c r="G49" s="911"/>
      <c r="H49" s="911"/>
      <c r="I49" s="668">
        <f>IF($H$49&lt;=$G$49,0,"c040,r350&lt;=c030,350")</f>
        <v>0</v>
      </c>
      <c r="J49" s="668">
        <f>IF($H$49&gt;=0,0,"F11.1,c40&gt;=0")</f>
        <v>0</v>
      </c>
      <c r="K49" s="668">
        <f>IF($E$49&gt;=0,0,"F11.1,c10&gt;=0")</f>
        <v>0</v>
      </c>
      <c r="L49" s="668">
        <f>IF($F$49&gt;=0,0,"F11.1,c20&gt;=0")</f>
        <v>0</v>
      </c>
      <c r="M49" s="668">
        <f>IF($G$49&gt;=0,0,"F11.1,c30&gt;=0")</f>
        <v>0</v>
      </c>
    </row>
    <row r="50" spans="1:13">
      <c r="A50" s="1156" t="str">
        <f t="shared" si="0"/>
        <v>F-11.01_360</v>
      </c>
      <c r="B50" s="431">
        <v>360</v>
      </c>
      <c r="C50" s="259" t="s">
        <v>85</v>
      </c>
      <c r="D50" s="241" t="s">
        <v>1874</v>
      </c>
      <c r="E50" s="911"/>
      <c r="F50" s="911"/>
      <c r="G50" s="911"/>
      <c r="H50" s="687"/>
      <c r="I50" s="668"/>
      <c r="J50" s="669"/>
      <c r="K50" s="668">
        <f>IF($E$50&gt;=0,0,"F11.1,c10&gt;=0")</f>
        <v>0</v>
      </c>
      <c r="L50" s="668">
        <f>IF($F$50&gt;=0,0,"F11.1,c20&gt;=0")</f>
        <v>0</v>
      </c>
      <c r="M50" s="668">
        <f>IF($G$50&gt;=0,0,"F11.1,c30&gt;=0")</f>
        <v>0</v>
      </c>
    </row>
    <row r="51" spans="1:13">
      <c r="A51" s="1156" t="str">
        <f t="shared" si="0"/>
        <v>F-11.01_370</v>
      </c>
      <c r="B51" s="431">
        <v>370</v>
      </c>
      <c r="C51" s="259" t="s">
        <v>86</v>
      </c>
      <c r="D51" s="241" t="s">
        <v>1874</v>
      </c>
      <c r="E51" s="911"/>
      <c r="F51" s="911"/>
      <c r="G51" s="911"/>
      <c r="H51" s="911"/>
      <c r="I51" s="668">
        <f>IF($H$51&lt;=$G$51,0,"c040,r370&lt;=c030,r370")</f>
        <v>0</v>
      </c>
      <c r="J51" s="668">
        <f>IF($H$51&gt;=0,0,"F11.1,c40&gt;=0")</f>
        <v>0</v>
      </c>
      <c r="K51" s="668">
        <f>IF($E$51&gt;=0,0,"F11.1,c10&gt;=0")</f>
        <v>0</v>
      </c>
      <c r="L51" s="668">
        <f>IF($F$51&gt;=0,0,"F11.1,c20&gt;=0")</f>
        <v>0</v>
      </c>
      <c r="M51" s="668">
        <f>IF($G$51&gt;=0,0,"F11.1,c30&gt;=0")</f>
        <v>0</v>
      </c>
    </row>
    <row r="52" spans="1:13">
      <c r="A52" s="1156" t="str">
        <f t="shared" si="0"/>
        <v>F-11.01_380</v>
      </c>
      <c r="B52" s="431">
        <v>380</v>
      </c>
      <c r="C52" s="259" t="s">
        <v>87</v>
      </c>
      <c r="D52" s="241" t="s">
        <v>1874</v>
      </c>
      <c r="E52" s="911"/>
      <c r="F52" s="911"/>
      <c r="G52" s="911"/>
      <c r="H52" s="687"/>
      <c r="I52" s="668"/>
      <c r="J52" s="669"/>
      <c r="K52" s="668">
        <f>IF($E$52&gt;=0,0,"F11.1,c10&gt;=0")</f>
        <v>0</v>
      </c>
      <c r="L52" s="668">
        <f>IF($F$52&gt;=0,0,"F11.1,c20&gt;=0")</f>
        <v>0</v>
      </c>
      <c r="M52" s="668">
        <f>IF($G$52&gt;=0,0,"F11.1,c30&gt;=0")</f>
        <v>0</v>
      </c>
    </row>
    <row r="53" spans="1:13">
      <c r="A53" s="1156" t="str">
        <f t="shared" si="0"/>
        <v>F-11.01_390</v>
      </c>
      <c r="B53" s="431">
        <v>390</v>
      </c>
      <c r="C53" s="255" t="s">
        <v>89</v>
      </c>
      <c r="D53" s="241" t="s">
        <v>1877</v>
      </c>
      <c r="E53" s="686">
        <f>SUM($E$54:$E$57)</f>
        <v>0</v>
      </c>
      <c r="F53" s="686">
        <f>SUM($F$54:$F$57)</f>
        <v>0</v>
      </c>
      <c r="G53" s="686">
        <f>SUM($G$54:$G$57)</f>
        <v>0</v>
      </c>
      <c r="H53" s="686">
        <f>SUM($H$54:$H$57)</f>
        <v>0</v>
      </c>
      <c r="I53" s="668">
        <f>IF($H$53&lt;=$G$53,0,"c040,r390&lt;=c030,r390")</f>
        <v>0</v>
      </c>
      <c r="J53" s="668">
        <f>IF($H$53&gt;=0,0,"F11.1,c40&gt;=0")</f>
        <v>0</v>
      </c>
      <c r="K53" s="668">
        <f>IF($E$53&gt;=0,0,"F11.1,c10&gt;=0")</f>
        <v>0</v>
      </c>
      <c r="L53" s="668">
        <f>IF($F$53&gt;=0,0,"F11.1,c20&gt;=0")</f>
        <v>0</v>
      </c>
      <c r="M53" s="668">
        <f>IF($G$53&gt;=0,0,"F11.1,c30&gt;=0")</f>
        <v>0</v>
      </c>
    </row>
    <row r="54" spans="1:13">
      <c r="A54" s="1156" t="str">
        <f t="shared" si="0"/>
        <v>F-11.01_400</v>
      </c>
      <c r="B54" s="431">
        <v>400</v>
      </c>
      <c r="C54" s="259" t="s">
        <v>90</v>
      </c>
      <c r="D54" s="241" t="s">
        <v>1874</v>
      </c>
      <c r="E54" s="911"/>
      <c r="F54" s="911"/>
      <c r="G54" s="911"/>
      <c r="H54" s="911"/>
      <c r="I54" s="668">
        <f>IF($H$54&lt;=$G$54,0,"c040,r400&lt;=c030,r400")</f>
        <v>0</v>
      </c>
      <c r="J54" s="668">
        <f>IF($H$54&gt;=0,0,"F11.1,c40&gt;=0")</f>
        <v>0</v>
      </c>
      <c r="K54" s="668">
        <f>IF($E$54&gt;=0,0,"F11.1,c10&gt;=0")</f>
        <v>0</v>
      </c>
      <c r="L54" s="668">
        <f>IF($F$54&gt;=0,0,"F11.1,c20&gt;=0")</f>
        <v>0</v>
      </c>
      <c r="M54" s="668">
        <f>IF($G$54&gt;=0,0,"F11.1,c30&gt;=0")</f>
        <v>0</v>
      </c>
    </row>
    <row r="55" spans="1:13">
      <c r="A55" s="1156" t="str">
        <f t="shared" si="0"/>
        <v>F-11.01_410</v>
      </c>
      <c r="B55" s="431">
        <v>410</v>
      </c>
      <c r="C55" s="259" t="s">
        <v>91</v>
      </c>
      <c r="D55" s="241" t="s">
        <v>1874</v>
      </c>
      <c r="E55" s="911"/>
      <c r="F55" s="911"/>
      <c r="G55" s="911"/>
      <c r="H55" s="911"/>
      <c r="I55" s="668">
        <f>IF($H$55&lt;=$G$55,0,"c040,r410&lt;=c030,r410")</f>
        <v>0</v>
      </c>
      <c r="J55" s="668">
        <f>IF($H$55&gt;=0,0,"F11.1,c40&gt;=0")</f>
        <v>0</v>
      </c>
      <c r="K55" s="668">
        <f>IF($E$55&gt;=0,0,"F11.1,c10&gt;=0")</f>
        <v>0</v>
      </c>
      <c r="L55" s="668">
        <f>IF($F$55&gt;=0,0,"F11.1,c20&gt;=0")</f>
        <v>0</v>
      </c>
      <c r="M55" s="668">
        <f>IF($G$55&gt;=0,0,"F11.1,c30&gt;=0")</f>
        <v>0</v>
      </c>
    </row>
    <row r="56" spans="1:13">
      <c r="A56" s="1156" t="str">
        <f t="shared" si="0"/>
        <v>F-11.01_420</v>
      </c>
      <c r="B56" s="431">
        <v>420</v>
      </c>
      <c r="C56" s="259" t="s">
        <v>92</v>
      </c>
      <c r="D56" s="241" t="s">
        <v>1874</v>
      </c>
      <c r="E56" s="911"/>
      <c r="F56" s="911"/>
      <c r="G56" s="911"/>
      <c r="H56" s="911"/>
      <c r="I56" s="668">
        <f>IF($H$56&lt;=$G$56,0,"c040,r420&lt;=c030,r420")</f>
        <v>0</v>
      </c>
      <c r="J56" s="668">
        <f>IF($H$56&gt;=0,0,"F11.1,c40&gt;=0")</f>
        <v>0</v>
      </c>
      <c r="K56" s="668">
        <f>IF($E$56&gt;=0,0,"F11.1,c10&gt;=0")</f>
        <v>0</v>
      </c>
      <c r="L56" s="668">
        <f>IF($F$56&gt;=0,0,"F11.1,c20&gt;=0")</f>
        <v>0</v>
      </c>
      <c r="M56" s="668">
        <f>IF($G$56&gt;=0,0,"F11.1,c30&gt;=0")</f>
        <v>0</v>
      </c>
    </row>
    <row r="57" spans="1:13">
      <c r="A57" s="1156" t="str">
        <f t="shared" si="0"/>
        <v>F-11.01_430</v>
      </c>
      <c r="B57" s="431">
        <v>430</v>
      </c>
      <c r="C57" s="259" t="s">
        <v>93</v>
      </c>
      <c r="D57" s="241" t="s">
        <v>1874</v>
      </c>
      <c r="E57" s="911"/>
      <c r="F57" s="911"/>
      <c r="G57" s="911"/>
      <c r="H57" s="911"/>
      <c r="I57" s="668">
        <f>IF($H$57&lt;=$G$57,0,"c040,r430&lt;=c030,r430")</f>
        <v>0</v>
      </c>
      <c r="J57" s="668">
        <f>IF($H$57&gt;=0,0,"F11.1,c40&gt;=0")</f>
        <v>0</v>
      </c>
      <c r="K57" s="668">
        <f>IF($E$57&gt;=0,0,"F11.1,c10&gt;=0")</f>
        <v>0</v>
      </c>
      <c r="L57" s="668">
        <f>IF($F$57&gt;=0,0,"F11.1,c20&gt;=0")</f>
        <v>0</v>
      </c>
      <c r="M57" s="668">
        <f>IF($G$57&gt;=0,0,"F11.1,c30&gt;=0")</f>
        <v>0</v>
      </c>
    </row>
    <row r="58" spans="1:13">
      <c r="A58" s="1156" t="str">
        <f t="shared" si="0"/>
        <v>F-11.01_440</v>
      </c>
      <c r="B58" s="431">
        <v>440</v>
      </c>
      <c r="C58" s="255" t="s">
        <v>94</v>
      </c>
      <c r="D58" s="241" t="s">
        <v>1878</v>
      </c>
      <c r="E58" s="909"/>
      <c r="F58" s="909"/>
      <c r="G58" s="909"/>
      <c r="H58" s="909"/>
      <c r="I58" s="668">
        <f>IF($H$58&lt;=$G$58,0,"c040,r440&lt;=c030,r440")</f>
        <v>0</v>
      </c>
      <c r="J58" s="668">
        <f>IF($H$58&gt;=0,0,"F11.1,c40&gt;=0")</f>
        <v>0</v>
      </c>
      <c r="K58" s="668">
        <f>IF($E$58&gt;=0,0,"F11.1,c10&gt;=0")</f>
        <v>0</v>
      </c>
      <c r="L58" s="668">
        <f>IF($F$58&gt;=0,0,"F11.1,c20&gt;=0")</f>
        <v>0</v>
      </c>
      <c r="M58" s="668">
        <f>IF($G$58&gt;=0,0,"F11.1,c30&gt;=0")</f>
        <v>0</v>
      </c>
    </row>
    <row r="59" spans="1:13">
      <c r="A59" s="1156" t="str">
        <f t="shared" si="0"/>
        <v>F-11.01_450</v>
      </c>
      <c r="B59" s="481">
        <v>450</v>
      </c>
      <c r="C59" s="256" t="s">
        <v>93</v>
      </c>
      <c r="D59" s="241" t="s">
        <v>1879</v>
      </c>
      <c r="E59" s="917"/>
      <c r="F59" s="917"/>
      <c r="G59" s="917"/>
      <c r="H59" s="917"/>
      <c r="I59" s="668">
        <f>IF($H$59&lt;=$G$59,0,"c040,r450&lt;=c030,r450")</f>
        <v>0</v>
      </c>
      <c r="J59" s="668">
        <f>IF($H$59&gt;=0,0,"F11.1,c40&gt;=0")</f>
        <v>0</v>
      </c>
      <c r="K59" s="668">
        <f>IF($E$59&gt;=0,0,"F11.1,c10&gt;=0")</f>
        <v>0</v>
      </c>
      <c r="L59" s="668">
        <f>IF($F$59&gt;=0,0,"F11.1,c20&gt;=0")</f>
        <v>0</v>
      </c>
      <c r="M59" s="668">
        <f>IF($G$59&gt;=0,0,"F11.1,c30&gt;=0")</f>
        <v>0</v>
      </c>
    </row>
    <row r="60" spans="1:13" ht="21">
      <c r="A60" s="1156" t="str">
        <f t="shared" si="0"/>
        <v>F-11.01_460</v>
      </c>
      <c r="B60" s="432">
        <v>460</v>
      </c>
      <c r="C60" s="85" t="s">
        <v>471</v>
      </c>
      <c r="D60" s="351" t="s">
        <v>1881</v>
      </c>
      <c r="E60" s="685">
        <f>SUM($E$38+$E$43+$E$48+$E$53+$E$58+$E$59)</f>
        <v>0</v>
      </c>
      <c r="F60" s="685">
        <f>SUM($F$38+$F$43+$F$48+$F$53+$F$58+$F$59)</f>
        <v>0</v>
      </c>
      <c r="G60" s="685">
        <f>SUM($G$38+$G$43+$G$48+$G$53+$G$58+$G$59)</f>
        <v>0</v>
      </c>
      <c r="H60" s="685">
        <f>SUM($H$38+$H$43+$H$48+$H$53+$H$58+$H$59)</f>
        <v>0</v>
      </c>
      <c r="I60" s="668">
        <f>IF($H$60&lt;=$G$60,0,"c040,r460&lt;=c030,r460")</f>
        <v>0</v>
      </c>
      <c r="J60" s="668">
        <f>IF($H$60&gt;=0,0,"F11.1,c40&gt;=0")</f>
        <v>0</v>
      </c>
      <c r="K60" s="668">
        <f>IF($E$60&gt;=0,0,"F11.1,c10&gt;=0")</f>
        <v>0</v>
      </c>
      <c r="L60" s="668">
        <f>IF($F$60&gt;=0,0,"F11.1,c20&gt;=0")</f>
        <v>0</v>
      </c>
      <c r="M60" s="668">
        <f>IF($G$60&gt;=0,0,"F11.1,c30&gt;=0")</f>
        <v>0</v>
      </c>
    </row>
    <row r="61" spans="1:13" ht="21">
      <c r="A61" s="1156" t="str">
        <f t="shared" si="0"/>
        <v>F-11.01_470</v>
      </c>
      <c r="B61" s="432">
        <v>470</v>
      </c>
      <c r="C61" s="85" t="s">
        <v>389</v>
      </c>
      <c r="D61" s="351" t="s">
        <v>1882</v>
      </c>
      <c r="E61" s="909"/>
      <c r="F61" s="909"/>
      <c r="G61" s="909"/>
      <c r="H61" s="909"/>
      <c r="I61" s="668">
        <f>IF($H$61&lt;=$G$61,0,"c040,r470&lt;=c030,r470")</f>
        <v>0</v>
      </c>
      <c r="J61" s="668">
        <f>IF($H$61&gt;=0,0,"F11.1,c40&gt;=0")</f>
        <v>0</v>
      </c>
      <c r="K61" s="668">
        <f>IF($E$61&gt;=0,0,"F11.1,c10&gt;=0")</f>
        <v>0</v>
      </c>
      <c r="L61" s="668">
        <f>IF($F$61&gt;=0,0,"F11.1,c20&gt;=0")</f>
        <v>0</v>
      </c>
      <c r="M61" s="668">
        <f>IF($G$61&gt;=0,0,"F11.1,c30&gt;=0")</f>
        <v>0</v>
      </c>
    </row>
    <row r="62" spans="1:13" ht="21">
      <c r="A62" s="1156" t="str">
        <f t="shared" si="0"/>
        <v>F-11.01_480</v>
      </c>
      <c r="B62" s="432">
        <v>480</v>
      </c>
      <c r="C62" s="85" t="s">
        <v>390</v>
      </c>
      <c r="D62" s="257" t="s">
        <v>1883</v>
      </c>
      <c r="E62" s="917"/>
      <c r="F62" s="917"/>
      <c r="G62" s="917"/>
      <c r="H62" s="909"/>
      <c r="I62" s="668">
        <f>IF($H$62&lt;=$G$62,0,"c040,r480&lt;=c030,r480")</f>
        <v>0</v>
      </c>
      <c r="J62" s="668">
        <f>IF($H$62&gt;=0,0,"F11.1,c40&gt;=0")</f>
        <v>0</v>
      </c>
      <c r="K62" s="668">
        <f>IF($E$62&gt;=0,0,"F11.1,c10&gt;=0")</f>
        <v>0</v>
      </c>
      <c r="L62" s="668">
        <f>IF($F$62&gt;=0,0,"F11.1,c20&gt;=0")</f>
        <v>0</v>
      </c>
      <c r="M62" s="668">
        <f>IF($G$62&gt;=0,0,"F11.1,c30&gt;=0")</f>
        <v>0</v>
      </c>
    </row>
    <row r="63" spans="1:13">
      <c r="A63" s="1156" t="str">
        <f t="shared" si="0"/>
        <v>F-11.01_490</v>
      </c>
      <c r="B63" s="432">
        <v>490</v>
      </c>
      <c r="C63" s="85" t="s">
        <v>391</v>
      </c>
      <c r="D63" s="257" t="s">
        <v>1884</v>
      </c>
      <c r="E63" s="1639"/>
      <c r="F63" s="1639"/>
      <c r="G63" s="1639"/>
      <c r="H63" s="917"/>
      <c r="I63" s="668">
        <f>IF($H$63&lt;=$G$63,0,"c040,r490&lt;=c030,r490")</f>
        <v>0</v>
      </c>
      <c r="J63" s="668">
        <f>IF($H$63&gt;=0,0,"F11.1,c40&gt;=0")</f>
        <v>0</v>
      </c>
      <c r="K63" s="668">
        <f>IF($E$63&gt;=0,0,"F11.1,c10&gt;=0")</f>
        <v>0</v>
      </c>
      <c r="L63" s="668">
        <f>IF($F$63&gt;=0,0,"F11.1,c20&gt;=0")</f>
        <v>0</v>
      </c>
      <c r="M63" s="668">
        <f>IF($G$63&gt;=0,0,"F11.1,c30&gt;=0")</f>
        <v>0</v>
      </c>
    </row>
    <row r="64" spans="1:13" ht="21">
      <c r="A64" s="1156" t="str">
        <f t="shared" si="0"/>
        <v>F-11.01_500</v>
      </c>
      <c r="B64" s="432">
        <v>500</v>
      </c>
      <c r="C64" s="85" t="s">
        <v>400</v>
      </c>
      <c r="D64" s="257" t="s">
        <v>1885</v>
      </c>
      <c r="E64" s="1165">
        <f>'1.1'!$F$37</f>
        <v>0</v>
      </c>
      <c r="F64" s="690">
        <f>'1.2'!$F$28</f>
        <v>0</v>
      </c>
      <c r="G64" s="690">
        <f>SUM($G$60+$G$37+$G$61+$G$63+$G$62)</f>
        <v>0</v>
      </c>
      <c r="H64" s="688">
        <f>SUM($H$60+$H$61+$H$62+$H$63+$H$37)</f>
        <v>0</v>
      </c>
      <c r="I64" s="668">
        <f>IF($H$64&lt;=$G$64,0,"c040,r500&lt;=c030,r500")</f>
        <v>0</v>
      </c>
      <c r="J64" s="668">
        <f>IF($H$64&gt;=0,0,"F11.1,c40&gt;=0")</f>
        <v>0</v>
      </c>
      <c r="K64" s="668">
        <f>IF($E$64&gt;=0,0,"F11.1,c10&gt;=0")</f>
        <v>0</v>
      </c>
      <c r="L64" s="668">
        <f>IF($F$64&gt;=0,0,"F11.1,c20&gt;=0")</f>
        <v>0</v>
      </c>
      <c r="M64" s="668">
        <f>IF($G$64&gt;=0,0,"F11.1,c30&gt;=0")</f>
        <v>0</v>
      </c>
    </row>
    <row r="65" spans="1:15" ht="21">
      <c r="A65" s="1156" t="str">
        <f t="shared" si="0"/>
        <v>F-11.01_510</v>
      </c>
      <c r="B65" s="430">
        <v>510</v>
      </c>
      <c r="C65" s="1559" t="s">
        <v>95</v>
      </c>
      <c r="D65" s="1560" t="s">
        <v>1886</v>
      </c>
      <c r="E65" s="911"/>
      <c r="F65" s="911"/>
      <c r="G65" s="911"/>
      <c r="H65" s="691"/>
      <c r="I65" s="669"/>
      <c r="J65" s="669"/>
      <c r="K65" s="668">
        <f>IF($E$65&gt;=0,0,"F11.1,c10&gt;=0")</f>
        <v>0</v>
      </c>
      <c r="L65" s="668">
        <f>IF($F$65&gt;=0,0,"F11.1,c20&gt;=0")</f>
        <v>0</v>
      </c>
      <c r="M65" s="668">
        <f>IF($G$65&gt;=0,0,"F11.1,c30&gt;=0")</f>
        <v>0</v>
      </c>
    </row>
    <row r="66" spans="1:15" ht="21">
      <c r="A66" s="1156" t="str">
        <f t="shared" si="0"/>
        <v>F-11.01_520</v>
      </c>
      <c r="B66" s="481">
        <v>520</v>
      </c>
      <c r="C66" s="1561" t="s">
        <v>96</v>
      </c>
      <c r="D66" s="242" t="s">
        <v>1887</v>
      </c>
      <c r="E66" s="886"/>
      <c r="F66" s="886"/>
      <c r="G66" s="886"/>
      <c r="H66" s="687"/>
      <c r="I66" s="669"/>
      <c r="J66" s="669"/>
      <c r="K66" s="668">
        <f>IF($E$66&gt;=0,0,"F11.1,c10&gt;=0")</f>
        <v>0</v>
      </c>
      <c r="L66" s="668">
        <f>IF($F$66&gt;=0,0,"F11.1,c20&gt;=0")</f>
        <v>0</v>
      </c>
      <c r="M66" s="668">
        <f>IF($G$66&gt;=0,0,"F11.1,c30&gt;=0")</f>
        <v>0</v>
      </c>
    </row>
    <row r="67" spans="1:15" s="201" customFormat="1" ht="21">
      <c r="A67" s="1156" t="str">
        <f t="shared" si="0"/>
        <v>F-11.01_530</v>
      </c>
      <c r="B67" s="482">
        <v>530</v>
      </c>
      <c r="C67" s="1562" t="s">
        <v>97</v>
      </c>
      <c r="D67" s="1563" t="s">
        <v>1888</v>
      </c>
      <c r="E67" s="1953"/>
      <c r="F67" s="1953"/>
      <c r="G67" s="1953"/>
      <c r="H67" s="692"/>
      <c r="I67" s="670"/>
      <c r="J67" s="670"/>
      <c r="K67" s="668">
        <f>IF($E$67&gt;=0,0,"F11.1,c10&gt;=0")</f>
        <v>0</v>
      </c>
      <c r="L67" s="668">
        <f>IF($F$67&gt;=0,0,"F11.1,c20&gt;=0")</f>
        <v>0</v>
      </c>
      <c r="M67" s="668">
        <f>IF($G$67&gt;=0,0,"F11.1,c30&gt;=0")</f>
        <v>0</v>
      </c>
    </row>
    <row r="68" spans="1:15">
      <c r="A68" s="1100" t="s">
        <v>718</v>
      </c>
      <c r="C68" s="838"/>
      <c r="E68" s="668">
        <f>IF($E$64&gt;=SUM($E$65:$E$67),0,"r500,c10&gt;=sum(510-530),c10")</f>
        <v>0</v>
      </c>
      <c r="F68" s="668">
        <f>IF($F$64&gt;=SUM($F$65:$F$67),0,"r500,c20&gt;=sum(510-530),c20")</f>
        <v>0</v>
      </c>
      <c r="G68" s="668">
        <f>IF($G$64&gt;=SUM($G$65:$G$67),0,"r500,c30&gt;=sum(510-530),c30")</f>
        <v>0</v>
      </c>
      <c r="H68" s="668"/>
      <c r="I68" s="669"/>
      <c r="J68" s="669"/>
      <c r="K68" s="669"/>
      <c r="L68" s="669"/>
      <c r="M68" s="669"/>
    </row>
    <row r="69" spans="1:15">
      <c r="A69" s="1100" t="s">
        <v>718</v>
      </c>
      <c r="C69" s="838"/>
      <c r="E69" s="668">
        <f>IF($E$30&gt;=$E$31,0,"r160,c10&gt;=170,c10")</f>
        <v>0</v>
      </c>
      <c r="F69" s="668">
        <f>IF($F$30&gt;=$F$31,0,"r160,c20&gt;=170,c20")</f>
        <v>0</v>
      </c>
      <c r="G69" s="668">
        <f>IF($G$30&gt;=$G$31,0,"r160,c30&gt;=170,c30")</f>
        <v>0</v>
      </c>
      <c r="H69" s="668">
        <f>IF($H$30&gt;=$H$31,0,"r160,c40&gt;=170,c40")</f>
        <v>0</v>
      </c>
    </row>
    <row r="70" spans="1:15">
      <c r="A70" s="1100" t="s">
        <v>718</v>
      </c>
      <c r="C70" s="838"/>
      <c r="E70" s="668">
        <f>IF($E$53&gt;=$E$54,0,"r390,c10&gt;=r400,c10")</f>
        <v>0</v>
      </c>
      <c r="F70" s="668">
        <f>IF($F$53&gt;=$F$54,0,"r390,c20&gt;=r400,c20")</f>
        <v>0</v>
      </c>
      <c r="G70" s="668">
        <f>IF($G$53&gt;=$G$54,0,"r390&gt;=r400")</f>
        <v>0</v>
      </c>
      <c r="H70" s="668">
        <f>IF($H$53&gt;=$H$54,0,"r390,c40&gt;=r400,c40")</f>
        <v>0</v>
      </c>
    </row>
    <row r="71" spans="1:15">
      <c r="A71" s="1100" t="s">
        <v>718</v>
      </c>
      <c r="E71" s="668"/>
      <c r="F71" s="668"/>
      <c r="G71" s="668"/>
      <c r="H71" s="668"/>
    </row>
    <row r="72" spans="1:15">
      <c r="A72" s="1100" t="s">
        <v>718</v>
      </c>
      <c r="E72" s="1476">
        <f>IF('20'!$G$8="N",0,IF($E$64='20'!$E$38+'20'!$F$38,0,"{F 11.01, r500, c010} = +{F 20.01, r240, c010} + {F 20.01, r240, c020}"))</f>
        <v>0</v>
      </c>
      <c r="F72" s="1476">
        <f>IF('20'!$G$8="N",0,IF($F$64='20'!$E$74+'20'!$F$74,0,"{F 11.01, r500, c020} = +{F 20.02, r150, c010} + {F 20.02, r150, c020}"))</f>
        <v>0</v>
      </c>
      <c r="G72" s="915"/>
      <c r="H72" s="915"/>
    </row>
    <row r="73" spans="1:15">
      <c r="A73" s="1100" t="s">
        <v>724</v>
      </c>
      <c r="E73" s="915">
        <f>IF(E$64=SUM(E$60+E$37+E$61+E$63+E$62),0,"{r500} = +{r460} + {r230} + {r470} + {r490} + {r480}")</f>
        <v>0</v>
      </c>
      <c r="F73" s="915">
        <f t="shared" ref="F73:H73" si="1">IF(F$64=SUM(F$60+F$37+F$61+F$63+F$62),0,"{r500} = +{r460} + {r230} + {r470} + {r490} + {r480}")</f>
        <v>0</v>
      </c>
      <c r="G73" s="915">
        <f t="shared" si="1"/>
        <v>0</v>
      </c>
      <c r="H73" s="915">
        <f t="shared" si="1"/>
        <v>0</v>
      </c>
    </row>
    <row r="74" spans="1:15">
      <c r="A74" s="1100"/>
      <c r="E74" s="915"/>
      <c r="F74" s="915"/>
      <c r="G74" s="915"/>
      <c r="H74" s="915"/>
    </row>
    <row r="75" spans="1:15" s="1097" customFormat="1" ht="18" hidden="1" customHeight="1">
      <c r="A75" s="1096" t="s">
        <v>2236</v>
      </c>
      <c r="B75" s="1118">
        <v>2</v>
      </c>
      <c r="C75" s="1118">
        <v>1</v>
      </c>
      <c r="D75" s="1119">
        <v>12</v>
      </c>
      <c r="E75" s="1182">
        <v>5</v>
      </c>
      <c r="F75" s="1120">
        <v>3</v>
      </c>
      <c r="G75" s="1121">
        <v>4</v>
      </c>
      <c r="H75" s="1122">
        <v>4</v>
      </c>
      <c r="I75" s="1122">
        <v>4</v>
      </c>
      <c r="J75" s="1123">
        <v>4</v>
      </c>
      <c r="K75" s="1123">
        <v>5</v>
      </c>
      <c r="L75" s="1124">
        <v>4</v>
      </c>
      <c r="M75" s="1124">
        <v>6</v>
      </c>
      <c r="N75" s="1125">
        <v>4</v>
      </c>
      <c r="O75" s="1125">
        <v>7</v>
      </c>
    </row>
    <row r="76" spans="1:15" s="1097" customFormat="1" ht="18" hidden="1" customHeight="1">
      <c r="A76" s="1096" t="str">
        <f>Index!$A$2</f>
        <v>V20181222</v>
      </c>
      <c r="B76" s="1098"/>
      <c r="C76" s="1099"/>
      <c r="D76" s="1100"/>
      <c r="E76" s="1100" t="str">
        <f>$A$75&amp;"_"&amp;E85</f>
        <v>F-11.03_010</v>
      </c>
      <c r="F76" s="1100" t="str">
        <f t="shared" ref="F76:G76" si="2">$A$75&amp;"_"&amp;F85</f>
        <v>F-11.03_020</v>
      </c>
      <c r="G76" s="1100" t="str">
        <f t="shared" si="2"/>
        <v>F-11.03_030</v>
      </c>
      <c r="H76" s="1100"/>
      <c r="I76" s="1100"/>
      <c r="J76" s="1100"/>
      <c r="K76" s="1100"/>
      <c r="L76" s="1100"/>
      <c r="M76" s="1100"/>
      <c r="N76" s="1101"/>
    </row>
    <row r="77" spans="1:15" s="1097" customFormat="1" ht="18" hidden="1" customHeight="1">
      <c r="A77" s="1096" t="str">
        <f>"R:A1:P"&amp;ROW(A203)+1</f>
        <v>R:A1:P204</v>
      </c>
      <c r="B77" s="1102"/>
      <c r="C77" s="1103"/>
      <c r="D77" s="1104"/>
      <c r="E77" s="1105"/>
      <c r="F77" s="1106"/>
      <c r="G77" s="1107"/>
      <c r="H77" s="1107"/>
      <c r="I77" s="1107"/>
      <c r="J77" s="1107"/>
      <c r="K77" s="1107"/>
    </row>
    <row r="78" spans="1:15" s="1097" customFormat="1" ht="18" hidden="1" customHeight="1">
      <c r="A78" s="1096"/>
      <c r="B78" s="1102"/>
      <c r="C78" s="1103"/>
      <c r="D78" s="1108"/>
      <c r="E78" s="1109"/>
      <c r="F78" s="1110"/>
      <c r="G78" s="1111">
        <f>N79</f>
        <v>0</v>
      </c>
      <c r="H78" s="1107"/>
      <c r="I78" s="1107"/>
      <c r="J78" s="1107"/>
      <c r="K78" s="1107"/>
    </row>
    <row r="79" spans="1:15" s="1097" customFormat="1" ht="18" hidden="1" customHeight="1">
      <c r="A79" s="1096"/>
      <c r="B79" s="1102"/>
      <c r="C79" s="1103"/>
      <c r="D79" s="1112"/>
      <c r="E79" s="1113"/>
      <c r="F79" s="1114"/>
      <c r="N79" s="1097">
        <f>COUNTIF(H86:M94,"&lt;&gt;0")-COUNTBLANK(H86:M94)</f>
        <v>0</v>
      </c>
    </row>
    <row r="80" spans="1:15">
      <c r="A80" s="1100" t="s">
        <v>718</v>
      </c>
      <c r="B80" s="603" t="s">
        <v>1890</v>
      </c>
      <c r="C80" s="1564"/>
      <c r="D80" s="1564"/>
      <c r="E80" s="1564"/>
      <c r="F80" s="1564"/>
      <c r="G80" s="1564"/>
      <c r="H80" s="1565"/>
      <c r="I80" s="1565"/>
    </row>
    <row r="81" spans="1:15">
      <c r="A81" s="1100" t="s">
        <v>718</v>
      </c>
      <c r="B81" s="1556"/>
      <c r="C81" s="1556"/>
      <c r="D81" s="1556"/>
      <c r="E81" s="1556"/>
      <c r="F81" s="1556"/>
      <c r="G81" s="1556"/>
      <c r="H81" s="1565"/>
      <c r="I81" s="1565"/>
    </row>
    <row r="82" spans="1:15">
      <c r="A82" s="1100" t="s">
        <v>718</v>
      </c>
      <c r="B82" s="2062"/>
      <c r="C82" s="2063"/>
      <c r="D82" s="2068" t="s">
        <v>552</v>
      </c>
      <c r="E82" s="2071" t="s">
        <v>57</v>
      </c>
      <c r="F82" s="2072"/>
      <c r="G82" s="2073"/>
      <c r="H82" s="1565"/>
      <c r="I82" s="1565"/>
    </row>
    <row r="83" spans="1:15" ht="42">
      <c r="A83" s="1100" t="s">
        <v>718</v>
      </c>
      <c r="B83" s="2064"/>
      <c r="C83" s="2065"/>
      <c r="D83" s="2069"/>
      <c r="E83" s="1487" t="s">
        <v>1891</v>
      </c>
      <c r="F83" s="1487" t="s">
        <v>1892</v>
      </c>
      <c r="G83" s="1487" t="s">
        <v>1893</v>
      </c>
      <c r="H83" s="1565"/>
      <c r="I83" s="1565"/>
    </row>
    <row r="84" spans="1:15" ht="21">
      <c r="A84" s="1100" t="s">
        <v>718</v>
      </c>
      <c r="B84" s="2064"/>
      <c r="C84" s="2065"/>
      <c r="D84" s="2069"/>
      <c r="E84" s="477" t="s">
        <v>1894</v>
      </c>
      <c r="F84" s="477" t="s">
        <v>1894</v>
      </c>
      <c r="G84" s="477" t="s">
        <v>1894</v>
      </c>
      <c r="H84" s="1565"/>
      <c r="I84" s="1565"/>
    </row>
    <row r="85" spans="1:15">
      <c r="A85" s="1100" t="s">
        <v>718</v>
      </c>
      <c r="B85" s="2066"/>
      <c r="C85" s="2067"/>
      <c r="D85" s="2070"/>
      <c r="E85" s="1724" t="s">
        <v>292</v>
      </c>
      <c r="F85" s="1724" t="s">
        <v>293</v>
      </c>
      <c r="G85" s="1724" t="s">
        <v>294</v>
      </c>
      <c r="H85" s="1565"/>
      <c r="I85" s="1565"/>
    </row>
    <row r="86" spans="1:15" ht="21">
      <c r="A86" s="1156" t="str">
        <f>$A$75&amp;"_"&amp;B86</f>
        <v>F-11.03_010</v>
      </c>
      <c r="B86" s="417" t="s">
        <v>292</v>
      </c>
      <c r="C86" s="1720" t="s">
        <v>1895</v>
      </c>
      <c r="D86" s="1560" t="s">
        <v>2245</v>
      </c>
      <c r="E86" s="909"/>
      <c r="F86" s="909"/>
      <c r="G86" s="909"/>
      <c r="H86" s="668">
        <f>IF(E86&gt;=0,0,"F11.3,c10&gt;=0")</f>
        <v>0</v>
      </c>
      <c r="I86" s="668">
        <f>IF(F86&gt;=0,0,"F11.3,c20&gt;=0")</f>
        <v>0</v>
      </c>
      <c r="J86" s="668">
        <f>IF(G86&gt;=0,0,"F11.3,c30&gt;=0")</f>
        <v>0</v>
      </c>
    </row>
    <row r="87" spans="1:15">
      <c r="A87" s="1156" t="str">
        <f t="shared" ref="A87:A93" si="3">$A$75&amp;"_"&amp;B87</f>
        <v>F-11.03_020</v>
      </c>
      <c r="B87" s="414" t="s">
        <v>293</v>
      </c>
      <c r="C87" s="1721" t="s">
        <v>1896</v>
      </c>
      <c r="D87" s="242" t="s">
        <v>1746</v>
      </c>
      <c r="E87" s="911"/>
      <c r="F87" s="911"/>
      <c r="G87" s="911"/>
      <c r="H87" s="668">
        <f t="shared" ref="H87:H92" si="4">IF(E87&gt;=0,0,"F11.3,c10&gt;=0")</f>
        <v>0</v>
      </c>
      <c r="I87" s="668">
        <f t="shared" ref="I87:I92" si="5">IF(F87&gt;=0,0,"F11.3,c20&gt;=0")</f>
        <v>0</v>
      </c>
      <c r="J87" s="668">
        <f t="shared" ref="J87:J93" si="6">IF(G87&gt;=0,0,"F11.3,c30&gt;=0")</f>
        <v>0</v>
      </c>
    </row>
    <row r="88" spans="1:15" ht="21">
      <c r="A88" s="1156" t="str">
        <f t="shared" si="3"/>
        <v>F-11.03_030</v>
      </c>
      <c r="B88" s="414" t="s">
        <v>294</v>
      </c>
      <c r="C88" s="1721" t="s">
        <v>1897</v>
      </c>
      <c r="D88" s="242" t="s">
        <v>1820</v>
      </c>
      <c r="E88" s="911"/>
      <c r="F88" s="911"/>
      <c r="G88" s="911"/>
      <c r="H88" s="668">
        <f t="shared" si="4"/>
        <v>0</v>
      </c>
      <c r="I88" s="668">
        <f t="shared" si="5"/>
        <v>0</v>
      </c>
      <c r="J88" s="668">
        <f t="shared" si="6"/>
        <v>0</v>
      </c>
    </row>
    <row r="89" spans="1:15" ht="21">
      <c r="A89" s="1156" t="str">
        <f t="shared" si="3"/>
        <v>F-11.03_040</v>
      </c>
      <c r="B89" s="414" t="s">
        <v>295</v>
      </c>
      <c r="C89" s="1721" t="s">
        <v>1898</v>
      </c>
      <c r="D89" s="242" t="s">
        <v>1899</v>
      </c>
      <c r="E89" s="911"/>
      <c r="F89" s="911"/>
      <c r="G89" s="911"/>
      <c r="H89" s="668">
        <f t="shared" si="4"/>
        <v>0</v>
      </c>
      <c r="I89" s="668">
        <f t="shared" si="5"/>
        <v>0</v>
      </c>
      <c r="J89" s="668">
        <f t="shared" si="6"/>
        <v>0</v>
      </c>
    </row>
    <row r="90" spans="1:15" ht="21">
      <c r="A90" s="1156" t="str">
        <f t="shared" si="3"/>
        <v>F-11.03_050</v>
      </c>
      <c r="B90" s="414" t="s">
        <v>296</v>
      </c>
      <c r="C90" s="1722" t="s">
        <v>1900</v>
      </c>
      <c r="D90" s="242" t="s">
        <v>2245</v>
      </c>
      <c r="E90" s="909"/>
      <c r="F90" s="909"/>
      <c r="G90" s="909"/>
      <c r="H90" s="668">
        <f t="shared" si="4"/>
        <v>0</v>
      </c>
      <c r="I90" s="668">
        <f t="shared" si="5"/>
        <v>0</v>
      </c>
      <c r="J90" s="668">
        <f t="shared" si="6"/>
        <v>0</v>
      </c>
    </row>
    <row r="91" spans="1:15">
      <c r="A91" s="1156" t="str">
        <f t="shared" si="3"/>
        <v>F-11.03_060</v>
      </c>
      <c r="B91" s="414" t="s">
        <v>297</v>
      </c>
      <c r="C91" s="1721" t="s">
        <v>76</v>
      </c>
      <c r="D91" s="242" t="s">
        <v>1746</v>
      </c>
      <c r="E91" s="1954"/>
      <c r="F91" s="1954"/>
      <c r="G91" s="1954"/>
      <c r="H91" s="668">
        <f t="shared" si="4"/>
        <v>0</v>
      </c>
      <c r="I91" s="668">
        <f t="shared" si="5"/>
        <v>0</v>
      </c>
      <c r="J91" s="668">
        <f t="shared" si="6"/>
        <v>0</v>
      </c>
    </row>
    <row r="92" spans="1:15">
      <c r="A92" s="1156" t="str">
        <f t="shared" si="3"/>
        <v>F-11.03_070</v>
      </c>
      <c r="B92" s="414" t="s">
        <v>298</v>
      </c>
      <c r="C92" s="1721" t="s">
        <v>113</v>
      </c>
      <c r="D92" s="242" t="s">
        <v>1901</v>
      </c>
      <c r="E92" s="1954"/>
      <c r="F92" s="1954"/>
      <c r="G92" s="1954"/>
      <c r="H92" s="668">
        <f t="shared" si="4"/>
        <v>0</v>
      </c>
      <c r="I92" s="668">
        <f t="shared" si="5"/>
        <v>0</v>
      </c>
      <c r="J92" s="668">
        <f t="shared" si="6"/>
        <v>0</v>
      </c>
    </row>
    <row r="93" spans="1:15">
      <c r="A93" s="1156" t="str">
        <f t="shared" si="3"/>
        <v>F-11.03_080</v>
      </c>
      <c r="B93" s="1500" t="s">
        <v>299</v>
      </c>
      <c r="C93" s="1723" t="s">
        <v>1572</v>
      </c>
      <c r="D93" s="257" t="s">
        <v>1901</v>
      </c>
      <c r="E93" s="1566"/>
      <c r="F93" s="1566"/>
      <c r="G93" s="1953"/>
      <c r="H93" s="1565"/>
      <c r="I93" s="1565"/>
      <c r="J93" s="668">
        <f t="shared" si="6"/>
        <v>0</v>
      </c>
    </row>
    <row r="94" spans="1:15">
      <c r="A94" s="1100" t="s">
        <v>724</v>
      </c>
      <c r="B94" s="1556"/>
      <c r="C94" s="1556"/>
      <c r="D94" s="1556"/>
      <c r="E94" s="1556"/>
      <c r="F94" s="1556"/>
      <c r="G94" s="1556"/>
      <c r="H94" s="1565"/>
      <c r="I94" s="1565"/>
    </row>
    <row r="95" spans="1:15" s="1097" customFormat="1" ht="18" hidden="1" customHeight="1">
      <c r="A95" s="1096" t="s">
        <v>2237</v>
      </c>
      <c r="B95" s="1118">
        <v>2</v>
      </c>
      <c r="C95" s="1118">
        <v>1</v>
      </c>
      <c r="D95" s="1119">
        <v>12</v>
      </c>
      <c r="E95" s="1182">
        <v>5</v>
      </c>
      <c r="F95" s="1120">
        <v>3</v>
      </c>
      <c r="G95" s="1121">
        <v>4</v>
      </c>
      <c r="H95" s="1122">
        <v>4</v>
      </c>
      <c r="I95" s="1122">
        <v>4</v>
      </c>
      <c r="J95" s="1123">
        <v>4</v>
      </c>
      <c r="K95" s="1123">
        <v>5</v>
      </c>
      <c r="L95" s="1124">
        <v>4</v>
      </c>
      <c r="M95" s="1124">
        <v>6</v>
      </c>
      <c r="N95" s="1125">
        <v>4</v>
      </c>
      <c r="O95" s="1125">
        <v>7</v>
      </c>
    </row>
    <row r="96" spans="1:15" s="1097" customFormat="1" ht="18" hidden="1" customHeight="1">
      <c r="A96" s="1096" t="str">
        <f>Index!$A$2</f>
        <v>V20181222</v>
      </c>
      <c r="B96" s="1098"/>
      <c r="C96" s="1099"/>
      <c r="D96" s="1100"/>
      <c r="E96" s="1100" t="str">
        <f>$A$95&amp;"_"&amp;E105</f>
        <v>F-11.04_010</v>
      </c>
      <c r="F96" s="1100" t="str">
        <f t="shared" ref="F96:I96" si="7">$A$95&amp;"_"&amp;F105</f>
        <v>F-11.04_020</v>
      </c>
      <c r="G96" s="1100" t="str">
        <f t="shared" si="7"/>
        <v>F-11.04_030</v>
      </c>
      <c r="H96" s="1100" t="str">
        <f t="shared" si="7"/>
        <v>F-11.04_040</v>
      </c>
      <c r="I96" s="1100" t="str">
        <f t="shared" si="7"/>
        <v>F-11.04_050</v>
      </c>
      <c r="J96" s="1100"/>
      <c r="K96" s="1100"/>
      <c r="L96" s="1100"/>
      <c r="M96" s="1100"/>
      <c r="N96" s="1101"/>
    </row>
    <row r="97" spans="1:14" s="1097" customFormat="1" ht="18" hidden="1" customHeight="1">
      <c r="A97" s="1096" t="str">
        <f>"R:A1:P"&amp;ROW(A223)+1</f>
        <v>R:A1:P224</v>
      </c>
      <c r="B97" s="1102"/>
      <c r="C97" s="1103"/>
      <c r="D97" s="1104"/>
      <c r="E97" s="1105"/>
      <c r="F97" s="1106"/>
      <c r="G97" s="1107"/>
      <c r="H97" s="1107"/>
      <c r="I97" s="1107"/>
      <c r="J97" s="1107"/>
      <c r="K97" s="1107"/>
    </row>
    <row r="98" spans="1:14" s="1097" customFormat="1" ht="18" hidden="1" customHeight="1">
      <c r="A98" s="1096"/>
      <c r="B98" s="1102"/>
      <c r="C98" s="1103"/>
      <c r="D98" s="1108"/>
      <c r="E98" s="1109"/>
      <c r="F98" s="1110"/>
      <c r="G98" s="1111">
        <f>N99</f>
        <v>0</v>
      </c>
      <c r="H98" s="1107"/>
      <c r="I98" s="1107"/>
      <c r="J98" s="1107"/>
      <c r="K98" s="1107"/>
    </row>
    <row r="99" spans="1:14" s="1097" customFormat="1" ht="18" hidden="1" customHeight="1">
      <c r="A99" s="1096"/>
      <c r="B99" s="1102"/>
      <c r="C99" s="1103"/>
      <c r="D99" s="1112"/>
      <c r="E99" s="1113"/>
      <c r="F99" s="1114"/>
      <c r="N99" s="1097">
        <f>COUNTIF(J106:M128,"&lt;&gt;0")-COUNTBLANK(J106:M128)</f>
        <v>0</v>
      </c>
    </row>
    <row r="100" spans="1:14">
      <c r="B100" s="66" t="s">
        <v>1902</v>
      </c>
      <c r="C100" s="1556"/>
      <c r="D100" s="1556"/>
      <c r="E100" s="1556"/>
      <c r="F100" s="1556"/>
      <c r="G100" s="1556"/>
      <c r="H100" s="1556"/>
      <c r="I100" s="1556"/>
    </row>
    <row r="101" spans="1:14">
      <c r="B101" s="1567"/>
      <c r="C101" s="1556"/>
      <c r="D101" s="1556"/>
      <c r="E101" s="1556"/>
      <c r="F101" s="1556"/>
      <c r="G101" s="1556"/>
      <c r="H101" s="1556"/>
      <c r="I101" s="1556"/>
    </row>
    <row r="102" spans="1:14" ht="31.5">
      <c r="A102" s="1100" t="s">
        <v>718</v>
      </c>
      <c r="B102" s="2054"/>
      <c r="C102" s="2055"/>
      <c r="D102" s="1992" t="s">
        <v>552</v>
      </c>
      <c r="E102" s="613" t="s">
        <v>1903</v>
      </c>
      <c r="F102" s="613" t="s">
        <v>1904</v>
      </c>
      <c r="G102" s="1978" t="s">
        <v>1905</v>
      </c>
      <c r="H102" s="2045"/>
      <c r="I102" s="613" t="s">
        <v>1906</v>
      </c>
    </row>
    <row r="103" spans="1:14" ht="84">
      <c r="A103" s="1100" t="s">
        <v>718</v>
      </c>
      <c r="B103" s="2056"/>
      <c r="C103" s="2057"/>
      <c r="D103" s="1993"/>
      <c r="E103" s="1735" t="s">
        <v>57</v>
      </c>
      <c r="F103" s="613" t="s">
        <v>1907</v>
      </c>
      <c r="G103" s="1697" t="s">
        <v>1908</v>
      </c>
      <c r="H103" s="1695" t="s">
        <v>1909</v>
      </c>
      <c r="I103" s="1695" t="s">
        <v>1910</v>
      </c>
    </row>
    <row r="104" spans="1:14" ht="42">
      <c r="A104" s="1100" t="s">
        <v>718</v>
      </c>
      <c r="B104" s="2056"/>
      <c r="C104" s="2057"/>
      <c r="D104" s="1993"/>
      <c r="E104" s="584" t="s">
        <v>1911</v>
      </c>
      <c r="F104" s="1359" t="s">
        <v>1912</v>
      </c>
      <c r="G104" s="494" t="s">
        <v>1913</v>
      </c>
      <c r="H104" s="494" t="s">
        <v>1914</v>
      </c>
      <c r="I104" s="494" t="s">
        <v>1915</v>
      </c>
    </row>
    <row r="105" spans="1:14">
      <c r="A105" s="1100" t="s">
        <v>718</v>
      </c>
      <c r="B105" s="2058"/>
      <c r="C105" s="2059"/>
      <c r="D105" s="1994"/>
      <c r="E105" s="583" t="s">
        <v>292</v>
      </c>
      <c r="F105" s="583" t="s">
        <v>293</v>
      </c>
      <c r="G105" s="583" t="s">
        <v>294</v>
      </c>
      <c r="H105" s="583" t="s">
        <v>295</v>
      </c>
      <c r="I105" s="583" t="s">
        <v>296</v>
      </c>
    </row>
    <row r="106" spans="1:14">
      <c r="A106" s="1156" t="str">
        <f>$A$95&amp;"_"&amp;B106</f>
        <v>F-11.04_004</v>
      </c>
      <c r="B106" s="441" t="s">
        <v>2238</v>
      </c>
      <c r="C106" s="1725" t="s">
        <v>170</v>
      </c>
      <c r="D106" s="1726"/>
      <c r="E106" s="1568"/>
      <c r="F106" s="1568"/>
      <c r="G106" s="1568"/>
      <c r="H106" s="1568"/>
      <c r="I106" s="1568"/>
    </row>
    <row r="107" spans="1:14" ht="21">
      <c r="A107" s="1156" t="str">
        <f t="shared" ref="A107:A128" si="8">$A$95&amp;"_"&amp;B107</f>
        <v>F-11.04_010</v>
      </c>
      <c r="B107" s="441" t="s">
        <v>292</v>
      </c>
      <c r="C107" s="1727" t="s">
        <v>1916</v>
      </c>
      <c r="D107" s="216" t="s">
        <v>1917</v>
      </c>
      <c r="E107" s="909"/>
      <c r="F107" s="909"/>
      <c r="G107" s="1955"/>
      <c r="H107" s="1955"/>
      <c r="I107" s="909"/>
      <c r="J107" s="668">
        <f>IF(E107&gt;=0,0,"F11.4,c10&gt;=0")</f>
        <v>0</v>
      </c>
      <c r="K107" s="668">
        <f>IF(F107&gt;=0,0,"F11.4,c20&gt;=0")</f>
        <v>0</v>
      </c>
      <c r="L107" s="668">
        <f>IF(I107&gt;=0,0,"F11.4,c50&gt;=0")</f>
        <v>0</v>
      </c>
    </row>
    <row r="108" spans="1:14">
      <c r="A108" s="1156" t="str">
        <f t="shared" si="8"/>
        <v>F-11.04_020</v>
      </c>
      <c r="B108" s="417" t="s">
        <v>293</v>
      </c>
      <c r="C108" s="1728" t="s">
        <v>83</v>
      </c>
      <c r="D108" s="241" t="s">
        <v>1873</v>
      </c>
      <c r="E108" s="911"/>
      <c r="F108" s="911"/>
      <c r="G108" s="1569"/>
      <c r="H108" s="1569"/>
      <c r="I108" s="1569"/>
      <c r="J108" s="668">
        <f t="shared" ref="J108:J128" si="9">IF(E108&gt;=0,0,"F11.4,c10&gt;=0")</f>
        <v>0</v>
      </c>
      <c r="K108" s="668">
        <f t="shared" ref="K108:K128" si="10">IF(F108&gt;=0,0,"F11.4,c20&gt;=0")</f>
        <v>0</v>
      </c>
    </row>
    <row r="109" spans="1:14">
      <c r="A109" s="1156" t="str">
        <f t="shared" si="8"/>
        <v>F-11.04_030</v>
      </c>
      <c r="B109" s="414" t="s">
        <v>294</v>
      </c>
      <c r="C109" s="1729" t="s">
        <v>88</v>
      </c>
      <c r="D109" s="241" t="s">
        <v>1875</v>
      </c>
      <c r="E109" s="911"/>
      <c r="F109" s="911"/>
      <c r="G109" s="1569"/>
      <c r="H109" s="1569"/>
      <c r="I109" s="1569"/>
      <c r="J109" s="668">
        <f t="shared" si="9"/>
        <v>0</v>
      </c>
      <c r="K109" s="668">
        <f t="shared" si="10"/>
        <v>0</v>
      </c>
    </row>
    <row r="110" spans="1:14">
      <c r="A110" s="1156" t="str">
        <f t="shared" si="8"/>
        <v>F-11.04_040</v>
      </c>
      <c r="B110" s="414" t="s">
        <v>295</v>
      </c>
      <c r="C110" s="1729" t="s">
        <v>406</v>
      </c>
      <c r="D110" s="241" t="s">
        <v>1876</v>
      </c>
      <c r="E110" s="911"/>
      <c r="F110" s="911"/>
      <c r="G110" s="1569"/>
      <c r="H110" s="1569"/>
      <c r="I110" s="1569"/>
      <c r="J110" s="668">
        <f t="shared" si="9"/>
        <v>0</v>
      </c>
      <c r="K110" s="668">
        <f t="shared" si="10"/>
        <v>0</v>
      </c>
    </row>
    <row r="111" spans="1:14">
      <c r="A111" s="1156" t="str">
        <f t="shared" si="8"/>
        <v>F-11.04_050</v>
      </c>
      <c r="B111" s="414" t="s">
        <v>296</v>
      </c>
      <c r="C111" s="1729" t="s">
        <v>89</v>
      </c>
      <c r="D111" s="241" t="s">
        <v>1877</v>
      </c>
      <c r="E111" s="911"/>
      <c r="F111" s="911"/>
      <c r="G111" s="1569"/>
      <c r="H111" s="1569"/>
      <c r="I111" s="1569"/>
      <c r="J111" s="668">
        <f t="shared" si="9"/>
        <v>0</v>
      </c>
      <c r="K111" s="668">
        <f t="shared" si="10"/>
        <v>0</v>
      </c>
    </row>
    <row r="112" spans="1:14">
      <c r="A112" s="1156" t="str">
        <f t="shared" si="8"/>
        <v>F-11.04_060</v>
      </c>
      <c r="B112" s="414" t="s">
        <v>297</v>
      </c>
      <c r="C112" s="1729" t="s">
        <v>94</v>
      </c>
      <c r="D112" s="241" t="s">
        <v>1878</v>
      </c>
      <c r="E112" s="911"/>
      <c r="F112" s="911"/>
      <c r="G112" s="1569"/>
      <c r="H112" s="1569"/>
      <c r="I112" s="1569"/>
      <c r="J112" s="668">
        <f t="shared" si="9"/>
        <v>0</v>
      </c>
      <c r="K112" s="668">
        <f t="shared" si="10"/>
        <v>0</v>
      </c>
    </row>
    <row r="113" spans="1:12">
      <c r="A113" s="1156" t="str">
        <f t="shared" si="8"/>
        <v>F-11.04_070</v>
      </c>
      <c r="B113" s="1500" t="s">
        <v>298</v>
      </c>
      <c r="C113" s="1730" t="s">
        <v>93</v>
      </c>
      <c r="D113" s="241" t="s">
        <v>1879</v>
      </c>
      <c r="E113" s="911"/>
      <c r="F113" s="911"/>
      <c r="G113" s="1569"/>
      <c r="H113" s="1569"/>
      <c r="I113" s="1569"/>
      <c r="J113" s="668">
        <f t="shared" si="9"/>
        <v>0</v>
      </c>
      <c r="K113" s="668">
        <f t="shared" si="10"/>
        <v>0</v>
      </c>
    </row>
    <row r="114" spans="1:12" ht="21">
      <c r="A114" s="1156" t="str">
        <f t="shared" si="8"/>
        <v>F-11.04_080</v>
      </c>
      <c r="B114" s="441" t="s">
        <v>299</v>
      </c>
      <c r="C114" s="157" t="s">
        <v>1918</v>
      </c>
      <c r="D114" s="117" t="s">
        <v>1919</v>
      </c>
      <c r="E114" s="909"/>
      <c r="F114" s="909"/>
      <c r="G114" s="1955"/>
      <c r="H114" s="1955"/>
      <c r="I114" s="909"/>
      <c r="J114" s="668">
        <f t="shared" si="9"/>
        <v>0</v>
      </c>
      <c r="K114" s="668">
        <f t="shared" si="10"/>
        <v>0</v>
      </c>
      <c r="L114" s="668">
        <f>IF(I114&gt;=0,0,"F11.4,c50&gt;=0")</f>
        <v>0</v>
      </c>
    </row>
    <row r="115" spans="1:12">
      <c r="A115" s="1156" t="str">
        <f t="shared" si="8"/>
        <v>F-11.04_090</v>
      </c>
      <c r="B115" s="417" t="s">
        <v>300</v>
      </c>
      <c r="C115" s="1728" t="s">
        <v>83</v>
      </c>
      <c r="D115" s="241" t="s">
        <v>1873</v>
      </c>
      <c r="E115" s="911"/>
      <c r="F115" s="911"/>
      <c r="G115" s="1569"/>
      <c r="H115" s="1569"/>
      <c r="I115" s="1569"/>
      <c r="J115" s="668">
        <f t="shared" si="9"/>
        <v>0</v>
      </c>
      <c r="K115" s="668">
        <f t="shared" si="10"/>
        <v>0</v>
      </c>
    </row>
    <row r="116" spans="1:12">
      <c r="A116" s="1156" t="str">
        <f t="shared" si="8"/>
        <v>F-11.04_100</v>
      </c>
      <c r="B116" s="414">
        <v>100</v>
      </c>
      <c r="C116" s="1729" t="s">
        <v>88</v>
      </c>
      <c r="D116" s="241" t="s">
        <v>1875</v>
      </c>
      <c r="E116" s="911"/>
      <c r="F116" s="911"/>
      <c r="G116" s="1569"/>
      <c r="H116" s="1569"/>
      <c r="I116" s="1569"/>
      <c r="J116" s="668">
        <f t="shared" si="9"/>
        <v>0</v>
      </c>
      <c r="K116" s="668">
        <f t="shared" si="10"/>
        <v>0</v>
      </c>
    </row>
    <row r="117" spans="1:12">
      <c r="A117" s="1156" t="str">
        <f t="shared" si="8"/>
        <v>F-11.04_110</v>
      </c>
      <c r="B117" s="414">
        <v>110</v>
      </c>
      <c r="C117" s="1729" t="s">
        <v>406</v>
      </c>
      <c r="D117" s="241" t="s">
        <v>1876</v>
      </c>
      <c r="E117" s="911"/>
      <c r="F117" s="911"/>
      <c r="G117" s="1569"/>
      <c r="H117" s="1569"/>
      <c r="I117" s="1569"/>
      <c r="J117" s="668">
        <f t="shared" si="9"/>
        <v>0</v>
      </c>
      <c r="K117" s="668">
        <f t="shared" si="10"/>
        <v>0</v>
      </c>
    </row>
    <row r="118" spans="1:12">
      <c r="A118" s="1156" t="str">
        <f t="shared" si="8"/>
        <v>F-11.04_120</v>
      </c>
      <c r="B118" s="414">
        <v>120</v>
      </c>
      <c r="C118" s="1729" t="s">
        <v>89</v>
      </c>
      <c r="D118" s="241" t="s">
        <v>1877</v>
      </c>
      <c r="E118" s="911"/>
      <c r="F118" s="911"/>
      <c r="G118" s="1569"/>
      <c r="H118" s="1569"/>
      <c r="I118" s="1569"/>
      <c r="J118" s="668">
        <f t="shared" si="9"/>
        <v>0</v>
      </c>
      <c r="K118" s="668">
        <f t="shared" si="10"/>
        <v>0</v>
      </c>
    </row>
    <row r="119" spans="1:12">
      <c r="A119" s="1156" t="str">
        <f t="shared" si="8"/>
        <v>F-11.04_130</v>
      </c>
      <c r="B119" s="414">
        <v>130</v>
      </c>
      <c r="C119" s="1729" t="s">
        <v>94</v>
      </c>
      <c r="D119" s="241" t="s">
        <v>1878</v>
      </c>
      <c r="E119" s="911"/>
      <c r="F119" s="911"/>
      <c r="G119" s="1569"/>
      <c r="H119" s="1569"/>
      <c r="I119" s="1569"/>
      <c r="J119" s="668">
        <f t="shared" si="9"/>
        <v>0</v>
      </c>
      <c r="K119" s="668">
        <f t="shared" si="10"/>
        <v>0</v>
      </c>
    </row>
    <row r="120" spans="1:12">
      <c r="A120" s="1156" t="str">
        <f t="shared" si="8"/>
        <v>F-11.04_140</v>
      </c>
      <c r="B120" s="1500">
        <v>140</v>
      </c>
      <c r="C120" s="1729" t="s">
        <v>93</v>
      </c>
      <c r="D120" s="241" t="s">
        <v>1879</v>
      </c>
      <c r="E120" s="911"/>
      <c r="F120" s="911"/>
      <c r="G120" s="1569"/>
      <c r="H120" s="1569"/>
      <c r="I120" s="1569"/>
      <c r="J120" s="668">
        <f t="shared" si="9"/>
        <v>0</v>
      </c>
      <c r="K120" s="668">
        <f t="shared" si="10"/>
        <v>0</v>
      </c>
    </row>
    <row r="121" spans="1:12">
      <c r="A121" s="1156" t="str">
        <f t="shared" si="8"/>
        <v>F-11.04_144</v>
      </c>
      <c r="B121" s="441" t="s">
        <v>2239</v>
      </c>
      <c r="C121" s="1731" t="s">
        <v>172</v>
      </c>
      <c r="D121" s="1726"/>
      <c r="E121" s="1570"/>
      <c r="F121" s="1570"/>
      <c r="G121" s="1570"/>
      <c r="H121" s="1570"/>
      <c r="I121" s="1570"/>
    </row>
    <row r="122" spans="1:12" ht="21">
      <c r="A122" s="1156" t="str">
        <f t="shared" si="8"/>
        <v>F-11.04_150</v>
      </c>
      <c r="B122" s="441">
        <v>150</v>
      </c>
      <c r="C122" s="1732" t="s">
        <v>1920</v>
      </c>
      <c r="D122" s="117" t="s">
        <v>1921</v>
      </c>
      <c r="E122" s="909"/>
      <c r="F122" s="909"/>
      <c r="G122" s="1955"/>
      <c r="H122" s="1955"/>
      <c r="I122" s="909"/>
      <c r="J122" s="668">
        <f t="shared" si="9"/>
        <v>0</v>
      </c>
      <c r="K122" s="668">
        <f t="shared" si="10"/>
        <v>0</v>
      </c>
      <c r="L122" s="668">
        <f>IF(I122&gt;=0,0,"F11.4,c50&gt;=0")</f>
        <v>0</v>
      </c>
    </row>
    <row r="123" spans="1:12">
      <c r="A123" s="1156" t="str">
        <f t="shared" si="8"/>
        <v>F-11.04_160</v>
      </c>
      <c r="B123" s="412">
        <v>160</v>
      </c>
      <c r="C123" s="1728" t="s">
        <v>83</v>
      </c>
      <c r="D123" s="241" t="s">
        <v>1873</v>
      </c>
      <c r="E123" s="911"/>
      <c r="F123" s="911"/>
      <c r="G123" s="1569"/>
      <c r="H123" s="1569"/>
      <c r="I123" s="1569"/>
      <c r="J123" s="668">
        <f t="shared" si="9"/>
        <v>0</v>
      </c>
      <c r="K123" s="668">
        <f t="shared" si="10"/>
        <v>0</v>
      </c>
    </row>
    <row r="124" spans="1:12">
      <c r="A124" s="1156" t="str">
        <f t="shared" si="8"/>
        <v>F-11.04_170</v>
      </c>
      <c r="B124" s="560">
        <v>170</v>
      </c>
      <c r="C124" s="1729" t="s">
        <v>88</v>
      </c>
      <c r="D124" s="241" t="s">
        <v>1875</v>
      </c>
      <c r="E124" s="911"/>
      <c r="F124" s="911"/>
      <c r="G124" s="1569"/>
      <c r="H124" s="1569"/>
      <c r="I124" s="1569"/>
      <c r="J124" s="668">
        <f t="shared" si="9"/>
        <v>0</v>
      </c>
      <c r="K124" s="668">
        <f t="shared" si="10"/>
        <v>0</v>
      </c>
    </row>
    <row r="125" spans="1:12">
      <c r="A125" s="1156" t="str">
        <f t="shared" si="8"/>
        <v>F-11.04_180</v>
      </c>
      <c r="B125" s="560">
        <v>180</v>
      </c>
      <c r="C125" s="1729" t="s">
        <v>406</v>
      </c>
      <c r="D125" s="241" t="s">
        <v>1876</v>
      </c>
      <c r="E125" s="911"/>
      <c r="F125" s="911"/>
      <c r="G125" s="1569"/>
      <c r="H125" s="1569"/>
      <c r="I125" s="1569"/>
      <c r="J125" s="668">
        <f t="shared" si="9"/>
        <v>0</v>
      </c>
      <c r="K125" s="668">
        <f t="shared" si="10"/>
        <v>0</v>
      </c>
    </row>
    <row r="126" spans="1:12">
      <c r="A126" s="1156" t="str">
        <f t="shared" si="8"/>
        <v>F-11.04_190</v>
      </c>
      <c r="B126" s="560">
        <v>190</v>
      </c>
      <c r="C126" s="1729" t="s">
        <v>89</v>
      </c>
      <c r="D126" s="241" t="s">
        <v>1877</v>
      </c>
      <c r="E126" s="911"/>
      <c r="F126" s="911"/>
      <c r="G126" s="1569"/>
      <c r="H126" s="1569"/>
      <c r="I126" s="1569"/>
      <c r="J126" s="668">
        <f t="shared" si="9"/>
        <v>0</v>
      </c>
      <c r="K126" s="668">
        <f t="shared" si="10"/>
        <v>0</v>
      </c>
    </row>
    <row r="127" spans="1:12">
      <c r="A127" s="1156" t="str">
        <f t="shared" si="8"/>
        <v>F-11.04_200</v>
      </c>
      <c r="B127" s="560">
        <v>200</v>
      </c>
      <c r="C127" s="1729" t="s">
        <v>94</v>
      </c>
      <c r="D127" s="241" t="s">
        <v>1878</v>
      </c>
      <c r="E127" s="911"/>
      <c r="F127" s="911"/>
      <c r="G127" s="1569"/>
      <c r="H127" s="1569"/>
      <c r="I127" s="1569"/>
      <c r="J127" s="668">
        <f t="shared" si="9"/>
        <v>0</v>
      </c>
      <c r="K127" s="668">
        <f t="shared" si="10"/>
        <v>0</v>
      </c>
    </row>
    <row r="128" spans="1:12">
      <c r="A128" s="1156" t="str">
        <f t="shared" si="8"/>
        <v>F-11.04_210</v>
      </c>
      <c r="B128" s="449">
        <v>210</v>
      </c>
      <c r="C128" s="1733" t="s">
        <v>93</v>
      </c>
      <c r="D128" s="1734" t="s">
        <v>1879</v>
      </c>
      <c r="E128" s="920"/>
      <c r="F128" s="920"/>
      <c r="G128" s="1571"/>
      <c r="H128" s="1571"/>
      <c r="I128" s="1571"/>
      <c r="J128" s="668">
        <f t="shared" si="9"/>
        <v>0</v>
      </c>
      <c r="K128" s="668">
        <f t="shared" si="10"/>
        <v>0</v>
      </c>
    </row>
    <row r="129" spans="1:1">
      <c r="A129" s="1156" t="s">
        <v>724</v>
      </c>
    </row>
  </sheetData>
  <sheetProtection password="C2F4" sheet="1" objects="1" scenarios="1"/>
  <mergeCells count="9">
    <mergeCell ref="B102:C105"/>
    <mergeCell ref="D102:D105"/>
    <mergeCell ref="G102:H102"/>
    <mergeCell ref="G11:H11"/>
    <mergeCell ref="C11:C13"/>
    <mergeCell ref="E11:F11"/>
    <mergeCell ref="B82:C85"/>
    <mergeCell ref="D82:D85"/>
    <mergeCell ref="E82:G82"/>
  </mergeCells>
  <dataValidations count="2">
    <dataValidation type="whole" allowBlank="1" showInputMessage="1" showErrorMessage="1" error="wrong number  format or sign" sqref="H46 H18 H20:H21 H23 H25:H26 H48:H49 H28 H51 H41 H43:H44 E15:H16 H30:H39 E17:G67 H53:H64 G86:G93 E86:F92 E107:F120 E122:F128 I107 I114 I122">
      <formula1>0</formula1>
      <formula2>99999999</formula2>
    </dataValidation>
    <dataValidation type="whole" allowBlank="1" showInputMessage="1" showErrorMessage="1" error="wrong number format or sign" sqref="G107:H107 G114:H114 G122:H122">
      <formula1>-99999999</formula1>
      <formula2>99999999</formula2>
    </dataValidation>
  </dataValidations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scale="28" orientation="landscape" cellComments="asDisplayed" r:id="rId1"/>
  <headerFooter scaleWithDoc="0" alignWithMargins="0"/>
  <ignoredErrors>
    <ignoredError sqref="B15:B67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B107"/>
  <sheetViews>
    <sheetView topLeftCell="B6" zoomScale="80" zoomScaleNormal="80" zoomScaleSheetLayoutView="100" workbookViewId="0">
      <selection activeCell="B6" sqref="B6"/>
    </sheetView>
  </sheetViews>
  <sheetFormatPr defaultColWidth="9.140625" defaultRowHeight="12.75"/>
  <cols>
    <col min="1" max="1" width="13.5703125" style="1156" hidden="1" customWidth="1"/>
    <col min="2" max="2" width="4" style="62" bestFit="1" customWidth="1"/>
    <col min="3" max="3" width="77.85546875" style="62" customWidth="1"/>
    <col min="4" max="4" width="17.5703125" style="62" customWidth="1"/>
    <col min="5" max="5" width="13.5703125" style="62" customWidth="1"/>
    <col min="6" max="10" width="13.7109375" style="62" customWidth="1"/>
    <col min="11" max="12" width="13.5703125" style="62" customWidth="1"/>
    <col min="13" max="13" width="13.7109375" style="62" customWidth="1"/>
    <col min="14" max="14" width="13.5703125" style="62" customWidth="1"/>
    <col min="15" max="18" width="13.7109375" style="62" customWidth="1"/>
    <col min="19" max="19" width="10.85546875" style="62" bestFit="1" customWidth="1"/>
    <col min="20" max="20" width="4" style="62" customWidth="1"/>
    <col min="21" max="21" width="11.28515625" style="62" bestFit="1" customWidth="1"/>
    <col min="22" max="22" width="12.28515625" style="62" bestFit="1" customWidth="1"/>
    <col min="23" max="23" width="11.5703125" style="62" customWidth="1"/>
    <col min="24" max="24" width="11.28515625" style="62" customWidth="1"/>
    <col min="25" max="27" width="10.85546875" style="62" customWidth="1"/>
    <col min="28" max="28" width="16.5703125" style="62" bestFit="1" customWidth="1"/>
    <col min="29" max="29" width="35.140625" style="62" customWidth="1"/>
    <col min="30" max="16384" width="9.140625" style="62"/>
  </cols>
  <sheetData>
    <row r="1" spans="1:26" s="1097" customFormat="1" ht="18" hidden="1" customHeight="1">
      <c r="A1" s="1096" t="s">
        <v>2240</v>
      </c>
      <c r="B1" s="1118">
        <v>2</v>
      </c>
      <c r="C1" s="1118">
        <v>1</v>
      </c>
      <c r="D1" s="1119">
        <v>15</v>
      </c>
      <c r="E1" s="1182">
        <v>5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26" s="1097" customFormat="1" ht="18" hidden="1" customHeight="1">
      <c r="A2" s="1096" t="str">
        <f>Index!$A$2</f>
        <v>V20181222</v>
      </c>
      <c r="B2" s="1098"/>
      <c r="C2" s="1099"/>
      <c r="D2" s="1100"/>
      <c r="E2" s="1100" t="str">
        <f t="shared" ref="E2:O2" si="0">$A$1&amp;"_"&amp;E14</f>
        <v>F-12.01_010</v>
      </c>
      <c r="F2" s="1100" t="str">
        <f t="shared" si="0"/>
        <v>F-12.01_020</v>
      </c>
      <c r="G2" s="1100" t="str">
        <f t="shared" si="0"/>
        <v>F-12.01_030</v>
      </c>
      <c r="H2" s="1100" t="str">
        <f t="shared" si="0"/>
        <v>F-12.01_040</v>
      </c>
      <c r="I2" s="1100" t="str">
        <f t="shared" si="0"/>
        <v>F-12.01_050</v>
      </c>
      <c r="J2" s="1100" t="str">
        <f t="shared" si="0"/>
        <v>F-12.01_070</v>
      </c>
      <c r="K2" s="1100" t="str">
        <f t="shared" si="0"/>
        <v>F-12.01_080</v>
      </c>
      <c r="L2" s="1100" t="str">
        <f t="shared" si="0"/>
        <v>F-12.01_090</v>
      </c>
      <c r="M2" s="1100" t="str">
        <f t="shared" si="0"/>
        <v>F-12.01_100</v>
      </c>
      <c r="N2" s="1100" t="str">
        <f t="shared" si="0"/>
        <v>F-12.01_110</v>
      </c>
      <c r="O2" s="1100" t="str">
        <f t="shared" si="0"/>
        <v>F-12.01_120</v>
      </c>
      <c r="P2" s="1100"/>
      <c r="Q2" s="1100"/>
      <c r="R2" s="1100"/>
    </row>
    <row r="3" spans="1:26" s="1097" customFormat="1" ht="18" hidden="1" customHeight="1">
      <c r="A3" s="1096" t="str">
        <f>"R:A1:AD"&amp;ROW(A100)+1</f>
        <v>R:A1:AD101</v>
      </c>
      <c r="B3" s="1102"/>
      <c r="C3" s="1103"/>
      <c r="D3" s="1104"/>
      <c r="E3" s="1105"/>
      <c r="F3" s="1106"/>
      <c r="G3" s="1107"/>
      <c r="H3" s="1107"/>
      <c r="I3" s="1107"/>
      <c r="J3" s="1107"/>
      <c r="K3" s="1107"/>
    </row>
    <row r="4" spans="1:26" s="1097" customFormat="1" ht="18" hidden="1" customHeight="1">
      <c r="A4" s="1096"/>
      <c r="B4" s="1102"/>
      <c r="C4" s="1103"/>
      <c r="D4" s="1108"/>
      <c r="E4" s="1109"/>
      <c r="F4" s="1110"/>
      <c r="G4" s="1111">
        <f>P5</f>
        <v>0</v>
      </c>
      <c r="H4" s="1107"/>
      <c r="I4" s="1107"/>
      <c r="J4" s="1107"/>
    </row>
    <row r="5" spans="1:26" s="1097" customFormat="1" ht="18" hidden="1" customHeight="1">
      <c r="A5" s="1096"/>
      <c r="B5" s="1102"/>
      <c r="C5" s="1103"/>
      <c r="D5" s="1112"/>
      <c r="E5" s="1113"/>
      <c r="F5" s="1114"/>
      <c r="P5" s="1097">
        <f>COUNTIF(P14:Z69,"&lt;&gt;0")-COUNTBLANK(P14:Z69)+COUNTIF(E70:O72,"&lt;&gt;0")-COUNTBLANK(E70:O72)</f>
        <v>0</v>
      </c>
    </row>
    <row r="6" spans="1:26" s="1116" customFormat="1">
      <c r="A6" s="1100" t="s">
        <v>718</v>
      </c>
      <c r="B6" s="1115"/>
    </row>
    <row r="7" spans="1:26">
      <c r="A7" s="1100" t="s">
        <v>718</v>
      </c>
      <c r="B7" s="1549" t="s">
        <v>1841</v>
      </c>
    </row>
    <row r="8" spans="1:26">
      <c r="A8" s="1100" t="s">
        <v>718</v>
      </c>
      <c r="B8" s="90"/>
      <c r="C8" s="93"/>
    </row>
    <row r="9" spans="1:26">
      <c r="A9" s="1100" t="s">
        <v>718</v>
      </c>
      <c r="B9" s="1550" t="s">
        <v>1842</v>
      </c>
      <c r="C9" s="59"/>
    </row>
    <row r="10" spans="1:26">
      <c r="A10" s="1100" t="s">
        <v>718</v>
      </c>
      <c r="B10" s="90"/>
      <c r="C10" s="93"/>
    </row>
    <row r="11" spans="1:26" ht="11.25" customHeight="1">
      <c r="A11" s="1100" t="s">
        <v>718</v>
      </c>
      <c r="B11" s="591"/>
      <c r="C11" s="483"/>
      <c r="D11" s="2083" t="s">
        <v>551</v>
      </c>
      <c r="E11" s="2074" t="s">
        <v>156</v>
      </c>
      <c r="F11" s="2074" t="s">
        <v>1843</v>
      </c>
      <c r="G11" s="2074" t="s">
        <v>1845</v>
      </c>
      <c r="H11" s="2074" t="s">
        <v>1847</v>
      </c>
      <c r="I11" s="2074" t="s">
        <v>1848</v>
      </c>
      <c r="J11" s="2074" t="s">
        <v>1849</v>
      </c>
      <c r="K11" s="2074" t="s">
        <v>1853</v>
      </c>
      <c r="L11" s="2074" t="s">
        <v>370</v>
      </c>
      <c r="M11" s="2074" t="s">
        <v>157</v>
      </c>
      <c r="N11" s="2074" t="s">
        <v>1854</v>
      </c>
      <c r="O11" s="2074" t="s">
        <v>1855</v>
      </c>
    </row>
    <row r="12" spans="1:26" ht="205.5" customHeight="1">
      <c r="A12" s="1100" t="s">
        <v>718</v>
      </c>
      <c r="B12" s="484"/>
      <c r="C12" s="485"/>
      <c r="D12" s="1993"/>
      <c r="E12" s="2075"/>
      <c r="F12" s="2082"/>
      <c r="G12" s="2082"/>
      <c r="H12" s="2075"/>
      <c r="I12" s="2075"/>
      <c r="J12" s="2075"/>
      <c r="K12" s="2075"/>
      <c r="L12" s="2075"/>
      <c r="M12" s="2075"/>
      <c r="N12" s="2075"/>
      <c r="O12" s="2075"/>
    </row>
    <row r="13" spans="1:26" ht="73.5">
      <c r="A13" s="1100" t="s">
        <v>718</v>
      </c>
      <c r="B13" s="484"/>
      <c r="C13" s="485"/>
      <c r="D13" s="486"/>
      <c r="E13" s="487"/>
      <c r="F13" s="584" t="s">
        <v>1844</v>
      </c>
      <c r="G13" s="584" t="s">
        <v>1846</v>
      </c>
      <c r="H13" s="584" t="s">
        <v>1850</v>
      </c>
      <c r="I13" s="584" t="s">
        <v>1851</v>
      </c>
      <c r="J13" s="584" t="s">
        <v>1852</v>
      </c>
      <c r="K13" s="584" t="s">
        <v>1856</v>
      </c>
      <c r="L13" s="584" t="s">
        <v>1857</v>
      </c>
      <c r="M13" s="1736"/>
      <c r="N13" s="1736"/>
      <c r="O13" s="584" t="s">
        <v>1858</v>
      </c>
    </row>
    <row r="14" spans="1:26">
      <c r="A14" s="1100" t="s">
        <v>718</v>
      </c>
      <c r="B14" s="488"/>
      <c r="C14" s="489"/>
      <c r="D14" s="490"/>
      <c r="E14" s="491" t="s">
        <v>292</v>
      </c>
      <c r="F14" s="492" t="s">
        <v>293</v>
      </c>
      <c r="G14" s="491" t="s">
        <v>294</v>
      </c>
      <c r="H14" s="1505" t="s">
        <v>295</v>
      </c>
      <c r="I14" s="1505" t="s">
        <v>296</v>
      </c>
      <c r="J14" s="1505" t="s">
        <v>298</v>
      </c>
      <c r="K14" s="1505" t="s">
        <v>299</v>
      </c>
      <c r="L14" s="1505" t="s">
        <v>300</v>
      </c>
      <c r="M14" s="1737">
        <v>100</v>
      </c>
      <c r="N14" s="1737">
        <v>110</v>
      </c>
      <c r="O14" s="1737">
        <v>120</v>
      </c>
      <c r="P14" s="671"/>
      <c r="Q14" s="671"/>
      <c r="R14" s="671"/>
      <c r="S14" s="671"/>
      <c r="T14" s="671"/>
      <c r="U14" s="671"/>
      <c r="V14" s="671"/>
      <c r="W14" s="671"/>
      <c r="X14" s="671"/>
      <c r="Y14" s="671"/>
    </row>
    <row r="15" spans="1:26" s="59" customFormat="1" ht="21">
      <c r="A15" s="1156" t="str">
        <f t="shared" ref="A15:A69" si="1">$A$1&amp;"_"&amp;B15</f>
        <v>F-12.01_010</v>
      </c>
      <c r="B15" s="375" t="s">
        <v>292</v>
      </c>
      <c r="C15" s="1554" t="s">
        <v>2146</v>
      </c>
      <c r="D15" s="1555" t="s">
        <v>2147</v>
      </c>
      <c r="E15" s="686">
        <f t="shared" ref="E15:O15" si="2">E$16+E$22</f>
        <v>0</v>
      </c>
      <c r="F15" s="686">
        <f t="shared" si="2"/>
        <v>0</v>
      </c>
      <c r="G15" s="686">
        <f t="shared" si="2"/>
        <v>0</v>
      </c>
      <c r="H15" s="686">
        <f t="shared" si="2"/>
        <v>0</v>
      </c>
      <c r="I15" s="686">
        <f t="shared" si="2"/>
        <v>0</v>
      </c>
      <c r="J15" s="686">
        <f t="shared" si="2"/>
        <v>0</v>
      </c>
      <c r="K15" s="686">
        <f t="shared" si="2"/>
        <v>0</v>
      </c>
      <c r="L15" s="686">
        <f t="shared" si="2"/>
        <v>0</v>
      </c>
      <c r="M15" s="686">
        <f t="shared" si="2"/>
        <v>0</v>
      </c>
      <c r="N15" s="686">
        <f t="shared" si="2"/>
        <v>0</v>
      </c>
      <c r="O15" s="686">
        <f t="shared" si="2"/>
        <v>0</v>
      </c>
      <c r="P15" s="815">
        <f>IF($E$15&lt;=0,0,"F12,c10&lt;=0")</f>
        <v>0</v>
      </c>
      <c r="Q15" s="815">
        <f>IF($F$15&lt;=0,0,"F12,c20&lt;=0")</f>
        <v>0</v>
      </c>
      <c r="R15" s="815">
        <f>IF($G$15&gt;=0,0,"F12,C30&gt;=0")</f>
        <v>0</v>
      </c>
      <c r="S15" s="815"/>
      <c r="T15" s="815"/>
      <c r="U15" s="815">
        <f>IF(K15&gt;=0,0,"F12,C80&gt;=0")</f>
        <v>0</v>
      </c>
      <c r="V15" s="815">
        <f>IF($M15&lt;=0,0,"F12,C100&lt;=0")</f>
        <v>0</v>
      </c>
      <c r="W15" s="815">
        <f>IF($N15&gt;=0,0,"F12,C110&lt;=0")</f>
        <v>0</v>
      </c>
      <c r="X15" s="815">
        <f>IF($O15&lt;=0,0,"F12,C120&lt;=0")</f>
        <v>0</v>
      </c>
      <c r="Y15" s="815">
        <f>IF($M15=SUM($E15:$L15),0,"{c100} = sum(c010-090))")</f>
        <v>0</v>
      </c>
      <c r="Z15" s="815">
        <f>IF(M15='4'!J121+'4'!J155,0,"{F 12.01.a, r010, c100} = {F 04.03.1, r180, c050} + {F 04.04.1, r140, c050}")</f>
        <v>0</v>
      </c>
    </row>
    <row r="16" spans="1:26" s="59" customFormat="1" ht="21">
      <c r="A16" s="1156" t="str">
        <f t="shared" si="1"/>
        <v>F-12.01_020</v>
      </c>
      <c r="B16" s="363" t="s">
        <v>293</v>
      </c>
      <c r="C16" s="1551" t="s">
        <v>55</v>
      </c>
      <c r="D16" s="14" t="s">
        <v>1712</v>
      </c>
      <c r="E16" s="686">
        <f>SUM($E$17:$E$21)</f>
        <v>0</v>
      </c>
      <c r="F16" s="686">
        <f>SUM(F$17:F$21)</f>
        <v>0</v>
      </c>
      <c r="G16" s="686">
        <f>SUM(G$17:G$21)</f>
        <v>0</v>
      </c>
      <c r="H16" s="686">
        <f>SUM(H$17:H$21)</f>
        <v>0</v>
      </c>
      <c r="I16" s="686">
        <f>SUM(I$17:I$21)</f>
        <v>0</v>
      </c>
      <c r="J16" s="686">
        <f>SUM(J$17:J$21)</f>
        <v>0</v>
      </c>
      <c r="K16" s="686">
        <f>SUM($K$17:$K$21)</f>
        <v>0</v>
      </c>
      <c r="L16" s="686">
        <f>SUM($L$17:$L$21)</f>
        <v>0</v>
      </c>
      <c r="M16" s="686">
        <f>SUM(E16:L16)</f>
        <v>0</v>
      </c>
      <c r="N16" s="686">
        <f>SUM(N$17:N$21)</f>
        <v>0</v>
      </c>
      <c r="O16" s="686">
        <f>SUM(O$17:O$21)</f>
        <v>0</v>
      </c>
      <c r="P16" s="815">
        <f>IF($E$16&lt;=0,0,"F12,c10&lt;=0")</f>
        <v>0</v>
      </c>
      <c r="Q16" s="815">
        <f>IF($F$16&lt;=0,0,"F12,c20&lt;=0")</f>
        <v>0</v>
      </c>
      <c r="R16" s="815">
        <f>IF($G$16&gt;=0,0,"F12,C30&gt;=0")</f>
        <v>0</v>
      </c>
      <c r="S16" s="815"/>
      <c r="T16" s="815"/>
      <c r="U16" s="815">
        <f>IF($K$16&gt;=0,0,"F12,C80&gt;=0")</f>
        <v>0</v>
      </c>
      <c r="V16" s="815">
        <f t="shared" ref="V16:V46" si="3">IF($M16&lt;=0,0,"F12,C100&lt;=0")</f>
        <v>0</v>
      </c>
      <c r="W16" s="815">
        <f t="shared" ref="W16:W46" si="4">IF($N16&gt;=0,0,"F12,C110&lt;=0")</f>
        <v>0</v>
      </c>
      <c r="X16" s="815">
        <f t="shared" ref="X16:X46" si="5">IF($O16&lt;=0,0,"F12,C120&lt;=0")</f>
        <v>0</v>
      </c>
      <c r="Y16" s="815">
        <f t="shared" ref="Y16:Y64" si="6">IF($M16=SUM($E16:$L16),0,"{c100} = sum(c010-090))")</f>
        <v>0</v>
      </c>
      <c r="Z16" s="815">
        <f>IF(M16='4'!J108+'4'!J142,0,"{F 12.01.a, r020, c100} = {F 04.03.1, r050, c050} + {F 04.04.1, r010, c050}")</f>
        <v>0</v>
      </c>
    </row>
    <row r="17" spans="1:26" s="59" customFormat="1" ht="21">
      <c r="A17" s="1156" t="str">
        <f t="shared" si="1"/>
        <v>F-12.01_030</v>
      </c>
      <c r="B17" s="363" t="s">
        <v>294</v>
      </c>
      <c r="C17" s="1552" t="s">
        <v>99</v>
      </c>
      <c r="D17" s="216" t="s">
        <v>1713</v>
      </c>
      <c r="E17" s="950"/>
      <c r="F17" s="950"/>
      <c r="G17" s="911"/>
      <c r="H17" s="946"/>
      <c r="I17" s="946"/>
      <c r="J17" s="946"/>
      <c r="K17" s="911"/>
      <c r="L17" s="946"/>
      <c r="M17" s="686">
        <f>SUM(E17:L17)</f>
        <v>0</v>
      </c>
      <c r="N17" s="911"/>
      <c r="O17" s="950"/>
      <c r="P17" s="815">
        <f>IF($E$17&lt;=0,0,"F12,c10&lt;=0")</f>
        <v>0</v>
      </c>
      <c r="Q17" s="815">
        <f>IF($F$17&lt;=0,0,"F12,c20&lt;=0")</f>
        <v>0</v>
      </c>
      <c r="R17" s="815">
        <f>IF($G$17&gt;=0,0,"F12,C30&gt;=0")</f>
        <v>0</v>
      </c>
      <c r="S17" s="815"/>
      <c r="T17" s="815"/>
      <c r="U17" s="815">
        <f>IF($K$17&gt;=0,0,"F12,C80&gt;=0")</f>
        <v>0</v>
      </c>
      <c r="V17" s="815">
        <f t="shared" si="3"/>
        <v>0</v>
      </c>
      <c r="W17" s="815">
        <f t="shared" si="4"/>
        <v>0</v>
      </c>
      <c r="X17" s="815">
        <f t="shared" si="5"/>
        <v>0</v>
      </c>
      <c r="Y17" s="815">
        <f t="shared" si="6"/>
        <v>0</v>
      </c>
    </row>
    <row r="18" spans="1:26" s="59" customFormat="1" ht="21">
      <c r="A18" s="1156" t="str">
        <f t="shared" si="1"/>
        <v>F-12.01_040</v>
      </c>
      <c r="B18" s="363" t="s">
        <v>295</v>
      </c>
      <c r="C18" s="1552" t="s">
        <v>100</v>
      </c>
      <c r="D18" s="216" t="s">
        <v>1714</v>
      </c>
      <c r="E18" s="950"/>
      <c r="F18" s="950"/>
      <c r="G18" s="911"/>
      <c r="H18" s="946"/>
      <c r="I18" s="946"/>
      <c r="J18" s="946"/>
      <c r="K18" s="911"/>
      <c r="L18" s="946"/>
      <c r="M18" s="686">
        <f>SUM(E18:L18)</f>
        <v>0</v>
      </c>
      <c r="N18" s="911"/>
      <c r="O18" s="950"/>
      <c r="P18" s="815">
        <f>IF($E$18&lt;=0,0,"F12,c10&lt;=0")</f>
        <v>0</v>
      </c>
      <c r="Q18" s="815">
        <f>IF($F$18&lt;=0,0,"F12,c20&lt;=0")</f>
        <v>0</v>
      </c>
      <c r="R18" s="815">
        <f>IF($G$18&gt;=0,0,"F12,C30&gt;=0")</f>
        <v>0</v>
      </c>
      <c r="S18" s="815"/>
      <c r="T18" s="815"/>
      <c r="U18" s="815">
        <f>IF($K$18&gt;=0,0,"F12,C80&gt;=0")</f>
        <v>0</v>
      </c>
      <c r="V18" s="815">
        <f t="shared" si="3"/>
        <v>0</v>
      </c>
      <c r="W18" s="815">
        <f t="shared" si="4"/>
        <v>0</v>
      </c>
      <c r="X18" s="815">
        <f t="shared" si="5"/>
        <v>0</v>
      </c>
      <c r="Y18" s="815">
        <f t="shared" si="6"/>
        <v>0</v>
      </c>
    </row>
    <row r="19" spans="1:26" s="59" customFormat="1" ht="21">
      <c r="A19" s="1156" t="str">
        <f t="shared" si="1"/>
        <v>F-12.01_050</v>
      </c>
      <c r="B19" s="363" t="s">
        <v>296</v>
      </c>
      <c r="C19" s="1552" t="s">
        <v>101</v>
      </c>
      <c r="D19" s="216" t="s">
        <v>1709</v>
      </c>
      <c r="E19" s="950"/>
      <c r="F19" s="950"/>
      <c r="G19" s="911"/>
      <c r="H19" s="946"/>
      <c r="I19" s="946"/>
      <c r="J19" s="946"/>
      <c r="K19" s="911"/>
      <c r="L19" s="946"/>
      <c r="M19" s="686">
        <f t="shared" ref="M19:M30" si="7">SUM(E19:L19)</f>
        <v>0</v>
      </c>
      <c r="N19" s="911"/>
      <c r="O19" s="950"/>
      <c r="P19" s="815">
        <f>IF($E$19&lt;=0,0,"F12,c10&lt;=0")</f>
        <v>0</v>
      </c>
      <c r="Q19" s="815">
        <f>IF($F$19&lt;=0,0,"F12,c20&lt;=0")</f>
        <v>0</v>
      </c>
      <c r="R19" s="815">
        <f>IF($G$19&gt;=0,0,"F12,C30&gt;=0")</f>
        <v>0</v>
      </c>
      <c r="S19" s="815"/>
      <c r="T19" s="815"/>
      <c r="U19" s="815">
        <f>IF($K$19&gt;=0,0,"F12,C80&gt;=0")</f>
        <v>0</v>
      </c>
      <c r="V19" s="815">
        <f t="shared" si="3"/>
        <v>0</v>
      </c>
      <c r="W19" s="815">
        <f t="shared" si="4"/>
        <v>0</v>
      </c>
      <c r="X19" s="815">
        <f t="shared" si="5"/>
        <v>0</v>
      </c>
      <c r="Y19" s="815">
        <f t="shared" si="6"/>
        <v>0</v>
      </c>
    </row>
    <row r="20" spans="1:26" s="59" customFormat="1" ht="21">
      <c r="A20" s="1156" t="str">
        <f t="shared" si="1"/>
        <v>F-12.01_060</v>
      </c>
      <c r="B20" s="363" t="s">
        <v>297</v>
      </c>
      <c r="C20" s="1552" t="s">
        <v>102</v>
      </c>
      <c r="D20" s="216" t="s">
        <v>1710</v>
      </c>
      <c r="E20" s="950"/>
      <c r="F20" s="950"/>
      <c r="G20" s="911"/>
      <c r="H20" s="946"/>
      <c r="I20" s="946"/>
      <c r="J20" s="946"/>
      <c r="K20" s="911"/>
      <c r="L20" s="946"/>
      <c r="M20" s="686">
        <f t="shared" si="7"/>
        <v>0</v>
      </c>
      <c r="N20" s="911"/>
      <c r="O20" s="950"/>
      <c r="P20" s="815">
        <f>IF($E$20&lt;=0,0,"F12,c10&lt;=0")</f>
        <v>0</v>
      </c>
      <c r="Q20" s="815">
        <f>IF($F$20&lt;=0,0,"F12,c20&lt;=0")</f>
        <v>0</v>
      </c>
      <c r="R20" s="815">
        <f>IF($G$20&gt;=0,0,"F12,C30&gt;=0")</f>
        <v>0</v>
      </c>
      <c r="S20" s="815"/>
      <c r="T20" s="815"/>
      <c r="U20" s="815">
        <f>IF($K$20&gt;=0,0,"F12,C80&gt;=0")</f>
        <v>0</v>
      </c>
      <c r="V20" s="815">
        <f t="shared" si="3"/>
        <v>0</v>
      </c>
      <c r="W20" s="815">
        <f t="shared" si="4"/>
        <v>0</v>
      </c>
      <c r="X20" s="815">
        <f t="shared" si="5"/>
        <v>0</v>
      </c>
      <c r="Y20" s="815">
        <f t="shared" si="6"/>
        <v>0</v>
      </c>
    </row>
    <row r="21" spans="1:26" s="59" customFormat="1" ht="21">
      <c r="A21" s="1156" t="str">
        <f t="shared" si="1"/>
        <v>F-12.01_070</v>
      </c>
      <c r="B21" s="363" t="s">
        <v>298</v>
      </c>
      <c r="C21" s="1553" t="s">
        <v>127</v>
      </c>
      <c r="D21" s="216" t="s">
        <v>1711</v>
      </c>
      <c r="E21" s="950"/>
      <c r="F21" s="950"/>
      <c r="G21" s="911"/>
      <c r="H21" s="946"/>
      <c r="I21" s="946"/>
      <c r="J21" s="946"/>
      <c r="K21" s="911"/>
      <c r="L21" s="946"/>
      <c r="M21" s="686">
        <f t="shared" si="7"/>
        <v>0</v>
      </c>
      <c r="N21" s="911"/>
      <c r="O21" s="950"/>
      <c r="P21" s="815">
        <f>IF($E$21&lt;=0,0,"F12,c10&lt;=0")</f>
        <v>0</v>
      </c>
      <c r="Q21" s="815">
        <f>IF($F$21&lt;=0,0,"F12,c20&lt;=0")</f>
        <v>0</v>
      </c>
      <c r="R21" s="815">
        <f>IF($G$21&gt;=0,0,"F12,C30&gt;=0")</f>
        <v>0</v>
      </c>
      <c r="S21" s="815"/>
      <c r="T21" s="815"/>
      <c r="U21" s="815">
        <f>IF($K$21&gt;=0,0,"F12,C80&gt;=0")</f>
        <v>0</v>
      </c>
      <c r="V21" s="815">
        <f t="shared" si="3"/>
        <v>0</v>
      </c>
      <c r="W21" s="815">
        <f t="shared" si="4"/>
        <v>0</v>
      </c>
      <c r="X21" s="815">
        <f t="shared" si="5"/>
        <v>0</v>
      </c>
      <c r="Y21" s="815">
        <f t="shared" si="6"/>
        <v>0</v>
      </c>
    </row>
    <row r="22" spans="1:26" s="59" customFormat="1" ht="21">
      <c r="A22" s="1156" t="str">
        <f t="shared" si="1"/>
        <v>F-12.01_080</v>
      </c>
      <c r="B22" s="363" t="s">
        <v>299</v>
      </c>
      <c r="C22" s="116" t="s">
        <v>61</v>
      </c>
      <c r="D22" s="216" t="s">
        <v>1715</v>
      </c>
      <c r="E22" s="686">
        <f>SUM($E$23:$E$28)</f>
        <v>0</v>
      </c>
      <c r="F22" s="686">
        <f t="shared" ref="F22:L22" si="8">SUM(F$23:F$28)</f>
        <v>0</v>
      </c>
      <c r="G22" s="686">
        <f t="shared" si="8"/>
        <v>0</v>
      </c>
      <c r="H22" s="686">
        <f t="shared" si="8"/>
        <v>0</v>
      </c>
      <c r="I22" s="686">
        <f t="shared" si="8"/>
        <v>0</v>
      </c>
      <c r="J22" s="686">
        <f t="shared" si="8"/>
        <v>0</v>
      </c>
      <c r="K22" s="686">
        <f t="shared" si="8"/>
        <v>0</v>
      </c>
      <c r="L22" s="686">
        <f t="shared" si="8"/>
        <v>0</v>
      </c>
      <c r="M22" s="686">
        <f>SUM(E22:L22)</f>
        <v>0</v>
      </c>
      <c r="N22" s="686">
        <f>SUM(N$23:N$28)</f>
        <v>0</v>
      </c>
      <c r="O22" s="686">
        <f>SUM(O$23:O$28)</f>
        <v>0</v>
      </c>
      <c r="P22" s="815">
        <f>IF($E$22&lt;=0,0,"F12,c10&lt;=0")</f>
        <v>0</v>
      </c>
      <c r="Q22" s="815">
        <f>IF($F$22&lt;=0,0,"F12,c20&lt;=0")</f>
        <v>0</v>
      </c>
      <c r="R22" s="815">
        <f>IF($G$22&gt;=0,0,"F12,C30&gt;=0")</f>
        <v>0</v>
      </c>
      <c r="S22" s="815"/>
      <c r="T22" s="815"/>
      <c r="U22" s="815">
        <f>IF($K$22&gt;=0,0,"F12,C80&gt;=0")</f>
        <v>0</v>
      </c>
      <c r="V22" s="815">
        <f t="shared" si="3"/>
        <v>0</v>
      </c>
      <c r="W22" s="815">
        <f t="shared" si="4"/>
        <v>0</v>
      </c>
      <c r="X22" s="815">
        <f t="shared" si="5"/>
        <v>0</v>
      </c>
      <c r="Y22" s="815">
        <f t="shared" si="6"/>
        <v>0</v>
      </c>
      <c r="Z22" s="815">
        <f>IF(M22='4'!J114+'4'!J148,0,"{F 12.01.a, r080, c100} = {F 04.03.1, r110, c050} + {F 04.04.1, r070, c050}")</f>
        <v>0</v>
      </c>
    </row>
    <row r="23" spans="1:26" s="59" customFormat="1" ht="21">
      <c r="A23" s="1156" t="str">
        <f t="shared" si="1"/>
        <v>F-12.01_090</v>
      </c>
      <c r="B23" s="363" t="s">
        <v>300</v>
      </c>
      <c r="C23" s="1552" t="s">
        <v>99</v>
      </c>
      <c r="D23" s="216" t="s">
        <v>1713</v>
      </c>
      <c r="E23" s="950"/>
      <c r="F23" s="950"/>
      <c r="G23" s="911"/>
      <c r="H23" s="946"/>
      <c r="I23" s="946"/>
      <c r="J23" s="946"/>
      <c r="K23" s="911"/>
      <c r="L23" s="946"/>
      <c r="M23" s="686">
        <f t="shared" si="7"/>
        <v>0</v>
      </c>
      <c r="N23" s="911"/>
      <c r="O23" s="950"/>
      <c r="P23" s="815">
        <f>IF($E$23&lt;=0,0,"F12,c10&lt;=0")</f>
        <v>0</v>
      </c>
      <c r="Q23" s="815">
        <f>IF($F$23&lt;=0,0,"F12,c20&lt;=0")</f>
        <v>0</v>
      </c>
      <c r="R23" s="815">
        <f>IF($G$23&gt;=0,0,"F12,C30&gt;=0")</f>
        <v>0</v>
      </c>
      <c r="S23" s="815"/>
      <c r="T23" s="815"/>
      <c r="U23" s="815">
        <f>IF($K$23&gt;=0,0,"F12,C80&gt;=0")</f>
        <v>0</v>
      </c>
      <c r="V23" s="815">
        <f t="shared" si="3"/>
        <v>0</v>
      </c>
      <c r="W23" s="815">
        <f t="shared" si="4"/>
        <v>0</v>
      </c>
      <c r="X23" s="815">
        <f t="shared" si="5"/>
        <v>0</v>
      </c>
      <c r="Y23" s="815">
        <f t="shared" si="6"/>
        <v>0</v>
      </c>
    </row>
    <row r="24" spans="1:26" s="59" customFormat="1" ht="21">
      <c r="A24" s="1156" t="str">
        <f t="shared" si="1"/>
        <v>F-12.01_100</v>
      </c>
      <c r="B24" s="363" t="s">
        <v>301</v>
      </c>
      <c r="C24" s="1552" t="s">
        <v>100</v>
      </c>
      <c r="D24" s="216" t="s">
        <v>1714</v>
      </c>
      <c r="E24" s="950"/>
      <c r="F24" s="950"/>
      <c r="G24" s="911"/>
      <c r="H24" s="946"/>
      <c r="I24" s="946"/>
      <c r="J24" s="946"/>
      <c r="K24" s="911"/>
      <c r="L24" s="946"/>
      <c r="M24" s="686">
        <f t="shared" si="7"/>
        <v>0</v>
      </c>
      <c r="N24" s="911"/>
      <c r="O24" s="950"/>
      <c r="P24" s="815">
        <f>IF($E$24&lt;=0,0,"F12,c10&lt;=0")</f>
        <v>0</v>
      </c>
      <c r="Q24" s="815">
        <f>IF($F$24&lt;=0,0,"F12,c20&lt;=0")</f>
        <v>0</v>
      </c>
      <c r="R24" s="815">
        <f>IF($G$24&gt;=0,0,"F12,C30&gt;=0")</f>
        <v>0</v>
      </c>
      <c r="S24" s="815"/>
      <c r="T24" s="815"/>
      <c r="U24" s="815">
        <f>IF($K$24&gt;=0,0,"F12,C80&gt;=0")</f>
        <v>0</v>
      </c>
      <c r="V24" s="815">
        <f t="shared" si="3"/>
        <v>0</v>
      </c>
      <c r="W24" s="815">
        <f t="shared" si="4"/>
        <v>0</v>
      </c>
      <c r="X24" s="815">
        <f t="shared" si="5"/>
        <v>0</v>
      </c>
      <c r="Y24" s="815">
        <f t="shared" si="6"/>
        <v>0</v>
      </c>
    </row>
    <row r="25" spans="1:26" s="59" customFormat="1" ht="21">
      <c r="A25" s="1156" t="str">
        <f t="shared" si="1"/>
        <v>F-12.01_110</v>
      </c>
      <c r="B25" s="363" t="s">
        <v>302</v>
      </c>
      <c r="C25" s="1552" t="s">
        <v>101</v>
      </c>
      <c r="D25" s="216" t="s">
        <v>1709</v>
      </c>
      <c r="E25" s="950"/>
      <c r="F25" s="950"/>
      <c r="G25" s="911"/>
      <c r="H25" s="946"/>
      <c r="I25" s="946"/>
      <c r="J25" s="946"/>
      <c r="K25" s="911"/>
      <c r="L25" s="946"/>
      <c r="M25" s="686">
        <f t="shared" si="7"/>
        <v>0</v>
      </c>
      <c r="N25" s="911"/>
      <c r="O25" s="950"/>
      <c r="P25" s="815">
        <f>IF($E$25&lt;=0,0,"F12,c10&lt;=0")</f>
        <v>0</v>
      </c>
      <c r="Q25" s="815">
        <f>IF($F$25&lt;=0,0,"F12,c20&lt;=0")</f>
        <v>0</v>
      </c>
      <c r="R25" s="815">
        <f>IF($G$25&gt;=0,0,"F12,C30&gt;=0")</f>
        <v>0</v>
      </c>
      <c r="S25" s="815"/>
      <c r="T25" s="815"/>
      <c r="U25" s="815">
        <f>IF($K$25&gt;=0,0,"F12,C80&gt;=0")</f>
        <v>0</v>
      </c>
      <c r="V25" s="815">
        <f t="shared" si="3"/>
        <v>0</v>
      </c>
      <c r="W25" s="815">
        <f t="shared" si="4"/>
        <v>0</v>
      </c>
      <c r="X25" s="815">
        <f t="shared" si="5"/>
        <v>0</v>
      </c>
      <c r="Y25" s="815">
        <f t="shared" si="6"/>
        <v>0</v>
      </c>
    </row>
    <row r="26" spans="1:26" s="59" customFormat="1" ht="21">
      <c r="A26" s="1156" t="str">
        <f t="shared" si="1"/>
        <v>F-12.01_120</v>
      </c>
      <c r="B26" s="363" t="s">
        <v>303</v>
      </c>
      <c r="C26" s="1552" t="s">
        <v>102</v>
      </c>
      <c r="D26" s="216" t="s">
        <v>1710</v>
      </c>
      <c r="E26" s="950"/>
      <c r="F26" s="950"/>
      <c r="G26" s="911"/>
      <c r="H26" s="946"/>
      <c r="I26" s="946"/>
      <c r="J26" s="946"/>
      <c r="K26" s="911"/>
      <c r="L26" s="946"/>
      <c r="M26" s="686">
        <f t="shared" si="7"/>
        <v>0</v>
      </c>
      <c r="N26" s="911"/>
      <c r="O26" s="950"/>
      <c r="P26" s="815">
        <f>IF($E$26&lt;=0,0,"F12,c10&lt;=0")</f>
        <v>0</v>
      </c>
      <c r="Q26" s="815">
        <f>IF($F$26&lt;=0,0,"F12,c20&lt;=0")</f>
        <v>0</v>
      </c>
      <c r="R26" s="815">
        <f>IF($G$26&gt;=0,0,"F12,C30&gt;=0")</f>
        <v>0</v>
      </c>
      <c r="S26" s="815"/>
      <c r="T26" s="815"/>
      <c r="U26" s="815">
        <f>IF($K$26&gt;=0,0,"F12,C80&gt;=0")</f>
        <v>0</v>
      </c>
      <c r="V26" s="815">
        <f t="shared" si="3"/>
        <v>0</v>
      </c>
      <c r="W26" s="815">
        <f t="shared" si="4"/>
        <v>0</v>
      </c>
      <c r="X26" s="815">
        <f t="shared" si="5"/>
        <v>0</v>
      </c>
      <c r="Y26" s="815">
        <f t="shared" si="6"/>
        <v>0</v>
      </c>
    </row>
    <row r="27" spans="1:26" s="59" customFormat="1" ht="21">
      <c r="A27" s="1156" t="str">
        <f t="shared" si="1"/>
        <v>F-12.01_130</v>
      </c>
      <c r="B27" s="363" t="s">
        <v>304</v>
      </c>
      <c r="C27" s="1553" t="s">
        <v>127</v>
      </c>
      <c r="D27" s="14" t="s">
        <v>1711</v>
      </c>
      <c r="E27" s="950"/>
      <c r="F27" s="950"/>
      <c r="G27" s="911"/>
      <c r="H27" s="946"/>
      <c r="I27" s="946"/>
      <c r="J27" s="946"/>
      <c r="K27" s="911"/>
      <c r="L27" s="946"/>
      <c r="M27" s="686">
        <f t="shared" si="7"/>
        <v>0</v>
      </c>
      <c r="N27" s="911"/>
      <c r="O27" s="950"/>
      <c r="P27" s="815">
        <f>IF($E$27&lt;=0,0,"F12,c10&lt;=0")</f>
        <v>0</v>
      </c>
      <c r="Q27" s="815">
        <f>IF($F$27&lt;=0,0,"F12,c20&lt;=0")</f>
        <v>0</v>
      </c>
      <c r="R27" s="815">
        <f>IF($G$27&gt;=0,0,"F12,C30&gt;=0")</f>
        <v>0</v>
      </c>
      <c r="S27" s="815"/>
      <c r="T27" s="815"/>
      <c r="U27" s="815">
        <f>IF($K$27&gt;=0,0,"F12,C80&gt;=0")</f>
        <v>0</v>
      </c>
      <c r="V27" s="815">
        <f t="shared" si="3"/>
        <v>0</v>
      </c>
      <c r="W27" s="815">
        <f t="shared" si="4"/>
        <v>0</v>
      </c>
      <c r="X27" s="815">
        <f t="shared" si="5"/>
        <v>0</v>
      </c>
      <c r="Y27" s="815">
        <f t="shared" si="6"/>
        <v>0</v>
      </c>
    </row>
    <row r="28" spans="1:26" s="59" customFormat="1" ht="21">
      <c r="A28" s="1156" t="str">
        <f t="shared" si="1"/>
        <v>F-12.01_140</v>
      </c>
      <c r="B28" s="363" t="s">
        <v>305</v>
      </c>
      <c r="C28" s="1553" t="s">
        <v>128</v>
      </c>
      <c r="D28" s="14" t="s">
        <v>1717</v>
      </c>
      <c r="E28" s="950"/>
      <c r="F28" s="950"/>
      <c r="G28" s="911"/>
      <c r="H28" s="946"/>
      <c r="I28" s="946"/>
      <c r="J28" s="946"/>
      <c r="K28" s="911"/>
      <c r="L28" s="946"/>
      <c r="M28" s="686">
        <f t="shared" si="7"/>
        <v>0</v>
      </c>
      <c r="N28" s="911"/>
      <c r="O28" s="950"/>
      <c r="P28" s="815">
        <f>IF($E28&lt;=0,0,"F12,c10&lt;=0")</f>
        <v>0</v>
      </c>
      <c r="Q28" s="815">
        <f>IF($F28&lt;=0,0,"F12,c20&lt;=0")</f>
        <v>0</v>
      </c>
      <c r="R28" s="815">
        <f>IF($G28&gt;=0,0,"F12,C30&gt;=0")</f>
        <v>0</v>
      </c>
      <c r="S28" s="815"/>
      <c r="T28" s="815"/>
      <c r="U28" s="815">
        <f>IF($K28&gt;=0,0,"F12,C80&gt;=0")</f>
        <v>0</v>
      </c>
      <c r="V28" s="815">
        <f t="shared" si="3"/>
        <v>0</v>
      </c>
      <c r="W28" s="815">
        <f t="shared" si="4"/>
        <v>0</v>
      </c>
      <c r="X28" s="815">
        <f t="shared" si="5"/>
        <v>0</v>
      </c>
      <c r="Y28" s="815">
        <f t="shared" si="6"/>
        <v>0</v>
      </c>
    </row>
    <row r="29" spans="1:26" s="59" customFormat="1" ht="31.5">
      <c r="A29" s="1156" t="str">
        <f t="shared" si="1"/>
        <v>F-12.01_160</v>
      </c>
      <c r="B29" s="361" t="s">
        <v>307</v>
      </c>
      <c r="C29" s="1635" t="s">
        <v>2148</v>
      </c>
      <c r="D29" s="14" t="s">
        <v>2149</v>
      </c>
      <c r="E29" s="950"/>
      <c r="F29" s="950"/>
      <c r="G29" s="911"/>
      <c r="H29" s="946"/>
      <c r="I29" s="946"/>
      <c r="J29" s="946"/>
      <c r="K29" s="911"/>
      <c r="L29" s="946"/>
      <c r="M29" s="686">
        <f t="shared" si="7"/>
        <v>0</v>
      </c>
      <c r="N29" s="911"/>
      <c r="O29" s="950"/>
      <c r="P29" s="815">
        <f t="shared" ref="P29:P30" si="9">IF($E29&lt;=0,0,"F12,c10&lt;=0")</f>
        <v>0</v>
      </c>
      <c r="Q29" s="815">
        <f t="shared" ref="Q29:Q30" si="10">IF($F29&lt;=0,0,"F12,c20&lt;=0")</f>
        <v>0</v>
      </c>
      <c r="R29" s="815">
        <f t="shared" ref="R29:R30" si="11">IF($G29&gt;=0,0,"F12,C30&gt;=0")</f>
        <v>0</v>
      </c>
      <c r="S29" s="815"/>
      <c r="T29" s="815"/>
      <c r="U29" s="815">
        <f>IF($K29&gt;=0,0,"F12,C80&gt;=0")</f>
        <v>0</v>
      </c>
      <c r="V29" s="815">
        <f t="shared" si="3"/>
        <v>0</v>
      </c>
      <c r="W29" s="815">
        <f t="shared" si="4"/>
        <v>0</v>
      </c>
      <c r="X29" s="815">
        <f t="shared" si="5"/>
        <v>0</v>
      </c>
      <c r="Y29" s="815">
        <f t="shared" si="6"/>
        <v>0</v>
      </c>
    </row>
    <row r="30" spans="1:26" s="59" customFormat="1" ht="31.5">
      <c r="A30" s="1156" t="str">
        <f t="shared" si="1"/>
        <v>F-12.01_170</v>
      </c>
      <c r="B30" s="362" t="s">
        <v>308</v>
      </c>
      <c r="C30" s="1635" t="s">
        <v>2150</v>
      </c>
      <c r="D30" s="1616" t="s">
        <v>2149</v>
      </c>
      <c r="E30" s="950"/>
      <c r="F30" s="950"/>
      <c r="G30" s="911"/>
      <c r="H30" s="946"/>
      <c r="I30" s="946"/>
      <c r="J30" s="946"/>
      <c r="K30" s="911"/>
      <c r="L30" s="946"/>
      <c r="M30" s="686">
        <f t="shared" si="7"/>
        <v>0</v>
      </c>
      <c r="N30" s="911"/>
      <c r="O30" s="950"/>
      <c r="P30" s="815">
        <f t="shared" si="9"/>
        <v>0</v>
      </c>
      <c r="Q30" s="815">
        <f t="shared" si="10"/>
        <v>0</v>
      </c>
      <c r="R30" s="815">
        <f t="shared" si="11"/>
        <v>0</v>
      </c>
      <c r="S30" s="815"/>
      <c r="T30" s="815"/>
      <c r="U30" s="815">
        <f>IF($K30&gt;=0,0,"F12,C80&gt;=0")</f>
        <v>0</v>
      </c>
      <c r="V30" s="815">
        <f t="shared" si="3"/>
        <v>0</v>
      </c>
      <c r="W30" s="815">
        <f t="shared" si="4"/>
        <v>0</v>
      </c>
      <c r="X30" s="815">
        <f t="shared" si="5"/>
        <v>0</v>
      </c>
      <c r="Y30" s="815">
        <f t="shared" si="6"/>
        <v>0</v>
      </c>
    </row>
    <row r="31" spans="1:26" s="59" customFormat="1" ht="21">
      <c r="A31" s="1156" t="str">
        <f t="shared" si="1"/>
        <v>F-12.01_180</v>
      </c>
      <c r="B31" s="375" t="s">
        <v>309</v>
      </c>
      <c r="C31" s="1554" t="s">
        <v>2151</v>
      </c>
      <c r="D31" s="1555" t="s">
        <v>2152</v>
      </c>
      <c r="E31" s="686">
        <f t="shared" ref="E31:J31" si="12">E$32+E$38</f>
        <v>0</v>
      </c>
      <c r="F31" s="686">
        <f t="shared" si="12"/>
        <v>0</v>
      </c>
      <c r="G31" s="686">
        <f t="shared" si="12"/>
        <v>0</v>
      </c>
      <c r="H31" s="686">
        <f t="shared" si="12"/>
        <v>0</v>
      </c>
      <c r="I31" s="686">
        <f t="shared" si="12"/>
        <v>0</v>
      </c>
      <c r="J31" s="686">
        <f t="shared" si="12"/>
        <v>0</v>
      </c>
      <c r="K31" s="686">
        <f t="shared" ref="K31:O31" si="13">K$32+K$38</f>
        <v>0</v>
      </c>
      <c r="L31" s="686">
        <f t="shared" si="13"/>
        <v>0</v>
      </c>
      <c r="M31" s="686">
        <f>M$32+M$38</f>
        <v>0</v>
      </c>
      <c r="N31" s="686">
        <f t="shared" si="13"/>
        <v>0</v>
      </c>
      <c r="O31" s="686">
        <f t="shared" si="13"/>
        <v>0</v>
      </c>
      <c r="P31" s="815">
        <f>IF($E$31&lt;=0,0,"F12,c10&lt;=0")</f>
        <v>0</v>
      </c>
      <c r="Q31" s="815">
        <f>IF($F$31&lt;=0,0,"F12,c20&lt;=0")</f>
        <v>0</v>
      </c>
      <c r="R31" s="815">
        <f>IF($G$31&gt;=0,0,"F12,C30&gt;=0")</f>
        <v>0</v>
      </c>
      <c r="S31" s="815"/>
      <c r="T31" s="815"/>
      <c r="U31" s="815">
        <f>IF($K$31&gt;=0,0,"F12,C80&gt;=0")</f>
        <v>0</v>
      </c>
      <c r="V31" s="815">
        <f t="shared" si="3"/>
        <v>0</v>
      </c>
      <c r="W31" s="815">
        <f t="shared" si="4"/>
        <v>0</v>
      </c>
      <c r="X31" s="815">
        <f t="shared" si="5"/>
        <v>0</v>
      </c>
      <c r="Y31" s="815">
        <f t="shared" si="6"/>
        <v>0</v>
      </c>
      <c r="Z31" s="815">
        <f>IF(M31='4'!K121+'4'!K155,0,"{F 12.01.a, r180, c100} = {F 04.03.1, r180, c060} + {F 04.04.1, r140, c060}")</f>
        <v>0</v>
      </c>
    </row>
    <row r="32" spans="1:26" s="59" customFormat="1" ht="21">
      <c r="A32" s="1156" t="str">
        <f t="shared" si="1"/>
        <v>F-12.01_190</v>
      </c>
      <c r="B32" s="386" t="s">
        <v>310</v>
      </c>
      <c r="C32" s="1551" t="s">
        <v>55</v>
      </c>
      <c r="D32" s="14" t="s">
        <v>1712</v>
      </c>
      <c r="E32" s="884">
        <f t="shared" ref="E32:L32" si="14">SUM(E$33:E$37)</f>
        <v>0</v>
      </c>
      <c r="F32" s="884">
        <f t="shared" si="14"/>
        <v>0</v>
      </c>
      <c r="G32" s="884">
        <f t="shared" si="14"/>
        <v>0</v>
      </c>
      <c r="H32" s="884">
        <f t="shared" si="14"/>
        <v>0</v>
      </c>
      <c r="I32" s="884">
        <f t="shared" si="14"/>
        <v>0</v>
      </c>
      <c r="J32" s="884">
        <f t="shared" si="14"/>
        <v>0</v>
      </c>
      <c r="K32" s="884">
        <f t="shared" si="14"/>
        <v>0</v>
      </c>
      <c r="L32" s="884">
        <f t="shared" si="14"/>
        <v>0</v>
      </c>
      <c r="M32" s="686">
        <f>SUM(E32:L32)</f>
        <v>0</v>
      </c>
      <c r="N32" s="884">
        <f>SUM(N$33:N$37)</f>
        <v>0</v>
      </c>
      <c r="O32" s="884">
        <f>SUM(O$33:O$37)</f>
        <v>0</v>
      </c>
      <c r="P32" s="815">
        <f>IF($E$32&lt;=0,0,"F12,c10&lt;=0")</f>
        <v>0</v>
      </c>
      <c r="Q32" s="815">
        <f>IF($F$32&lt;=0,0,"F12,c20&lt;=0")</f>
        <v>0</v>
      </c>
      <c r="R32" s="815">
        <f>IF($G$32&gt;=0,0,"F12,C30&gt;=0")</f>
        <v>0</v>
      </c>
      <c r="S32" s="815"/>
      <c r="T32" s="815"/>
      <c r="U32" s="815">
        <f>IF($K$32&gt;=0,0,"F12,C80&gt;=0")</f>
        <v>0</v>
      </c>
      <c r="V32" s="815">
        <f t="shared" si="3"/>
        <v>0</v>
      </c>
      <c r="W32" s="815">
        <f t="shared" si="4"/>
        <v>0</v>
      </c>
      <c r="X32" s="815">
        <f t="shared" si="5"/>
        <v>0</v>
      </c>
      <c r="Y32" s="815">
        <f t="shared" si="6"/>
        <v>0</v>
      </c>
      <c r="Z32" s="815">
        <f>IF(M32='4'!K108+'4'!K142,0,"{F 12.01.a, r190, c100} = {F 04.03.1, r050, c060} + {F 04.04.1, r010, c060}")</f>
        <v>0</v>
      </c>
    </row>
    <row r="33" spans="1:26" s="59" customFormat="1" ht="21">
      <c r="A33" s="1156" t="str">
        <f t="shared" si="1"/>
        <v>F-12.01_200</v>
      </c>
      <c r="B33" s="363" t="s">
        <v>311</v>
      </c>
      <c r="C33" s="1552" t="s">
        <v>99</v>
      </c>
      <c r="D33" s="216" t="s">
        <v>1713</v>
      </c>
      <c r="E33" s="950"/>
      <c r="F33" s="950"/>
      <c r="G33" s="911"/>
      <c r="H33" s="946"/>
      <c r="I33" s="946"/>
      <c r="J33" s="946"/>
      <c r="K33" s="911"/>
      <c r="L33" s="946"/>
      <c r="M33" s="686">
        <f t="shared" ref="M33:M47" si="15">SUM(E33:L33)</f>
        <v>0</v>
      </c>
      <c r="N33" s="911"/>
      <c r="O33" s="950"/>
      <c r="P33" s="815">
        <f>IF($E$33&lt;=0,0,"F12,c10&lt;=0")</f>
        <v>0</v>
      </c>
      <c r="Q33" s="815">
        <f>IF($F$33&lt;=0,0,"F12,c20&lt;=0")</f>
        <v>0</v>
      </c>
      <c r="R33" s="815">
        <f>IF($G$33&gt;=0,0,"F12,C30&gt;=0")</f>
        <v>0</v>
      </c>
      <c r="S33" s="815"/>
      <c r="T33" s="815"/>
      <c r="U33" s="815">
        <f>IF($K$33&gt;=0,0,"F12,C80&gt;=0")</f>
        <v>0</v>
      </c>
      <c r="V33" s="815">
        <f t="shared" si="3"/>
        <v>0</v>
      </c>
      <c r="W33" s="815">
        <f t="shared" si="4"/>
        <v>0</v>
      </c>
      <c r="X33" s="815">
        <f t="shared" si="5"/>
        <v>0</v>
      </c>
      <c r="Y33" s="815">
        <f t="shared" si="6"/>
        <v>0</v>
      </c>
    </row>
    <row r="34" spans="1:26" s="59" customFormat="1" ht="21">
      <c r="A34" s="1156" t="str">
        <f t="shared" si="1"/>
        <v>F-12.01_210</v>
      </c>
      <c r="B34" s="363" t="s">
        <v>312</v>
      </c>
      <c r="C34" s="1552" t="s">
        <v>100</v>
      </c>
      <c r="D34" s="216" t="s">
        <v>1714</v>
      </c>
      <c r="E34" s="950"/>
      <c r="F34" s="950"/>
      <c r="G34" s="911"/>
      <c r="H34" s="946"/>
      <c r="I34" s="946"/>
      <c r="J34" s="946"/>
      <c r="K34" s="911"/>
      <c r="L34" s="946"/>
      <c r="M34" s="686">
        <f t="shared" si="15"/>
        <v>0</v>
      </c>
      <c r="N34" s="911"/>
      <c r="O34" s="950"/>
      <c r="P34" s="815">
        <f>IF($E$34&lt;=0,0,"F12,c10&lt;=0")</f>
        <v>0</v>
      </c>
      <c r="Q34" s="815">
        <f>IF($F$34&lt;=0,0,"F12,c20&lt;=0")</f>
        <v>0</v>
      </c>
      <c r="R34" s="815">
        <f>IF($G$34&gt;=0,0,"F12,C30&gt;=0")</f>
        <v>0</v>
      </c>
      <c r="S34" s="815"/>
      <c r="T34" s="815"/>
      <c r="U34" s="815">
        <f>IF($K$34&gt;=0,0,"F12,C80&gt;=0")</f>
        <v>0</v>
      </c>
      <c r="V34" s="815">
        <f t="shared" si="3"/>
        <v>0</v>
      </c>
      <c r="W34" s="815">
        <f t="shared" si="4"/>
        <v>0</v>
      </c>
      <c r="X34" s="815">
        <f t="shared" si="5"/>
        <v>0</v>
      </c>
      <c r="Y34" s="815">
        <f t="shared" si="6"/>
        <v>0</v>
      </c>
    </row>
    <row r="35" spans="1:26" s="59" customFormat="1" ht="21">
      <c r="A35" s="1156" t="str">
        <f t="shared" si="1"/>
        <v>F-12.01_220</v>
      </c>
      <c r="B35" s="363">
        <v>220</v>
      </c>
      <c r="C35" s="1552" t="s">
        <v>101</v>
      </c>
      <c r="D35" s="216" t="s">
        <v>1709</v>
      </c>
      <c r="E35" s="950"/>
      <c r="F35" s="950"/>
      <c r="G35" s="911"/>
      <c r="H35" s="946"/>
      <c r="I35" s="946"/>
      <c r="J35" s="946"/>
      <c r="K35" s="911"/>
      <c r="L35" s="946"/>
      <c r="M35" s="686">
        <f t="shared" si="15"/>
        <v>0</v>
      </c>
      <c r="N35" s="911"/>
      <c r="O35" s="950"/>
      <c r="P35" s="815">
        <f>IF($E$35&lt;=0,0,"F12,c10&lt;=0")</f>
        <v>0</v>
      </c>
      <c r="Q35" s="815">
        <f>IF($F$35&lt;=0,0,"F12,c20&lt;=0")</f>
        <v>0</v>
      </c>
      <c r="R35" s="815">
        <f>IF($G$35&gt;=0,0,"F12,C30&gt;=0")</f>
        <v>0</v>
      </c>
      <c r="S35" s="815"/>
      <c r="T35" s="815"/>
      <c r="U35" s="815">
        <f>IF($K$35&gt;=0,0,"F12,C80&gt;=0")</f>
        <v>0</v>
      </c>
      <c r="V35" s="815">
        <f t="shared" si="3"/>
        <v>0</v>
      </c>
      <c r="W35" s="815">
        <f t="shared" si="4"/>
        <v>0</v>
      </c>
      <c r="X35" s="815">
        <f t="shared" si="5"/>
        <v>0</v>
      </c>
      <c r="Y35" s="815">
        <f t="shared" si="6"/>
        <v>0</v>
      </c>
    </row>
    <row r="36" spans="1:26" s="59" customFormat="1" ht="21">
      <c r="A36" s="1156" t="str">
        <f t="shared" si="1"/>
        <v>F-12.01_230</v>
      </c>
      <c r="B36" s="363">
        <v>230</v>
      </c>
      <c r="C36" s="1552" t="s">
        <v>102</v>
      </c>
      <c r="D36" s="216" t="s">
        <v>1710</v>
      </c>
      <c r="E36" s="950"/>
      <c r="F36" s="950"/>
      <c r="G36" s="911"/>
      <c r="H36" s="946"/>
      <c r="I36" s="946"/>
      <c r="J36" s="946"/>
      <c r="K36" s="911"/>
      <c r="L36" s="946"/>
      <c r="M36" s="686">
        <f t="shared" si="15"/>
        <v>0</v>
      </c>
      <c r="N36" s="911"/>
      <c r="O36" s="950"/>
      <c r="P36" s="815">
        <f>IF($E$36&lt;=0,0,"F12,c10&lt;=0")</f>
        <v>0</v>
      </c>
      <c r="Q36" s="815">
        <f>IF($F$36&lt;=0,0,"F12,c20&lt;=0")</f>
        <v>0</v>
      </c>
      <c r="R36" s="815">
        <f>IF($G$36&gt;=0,0,"F12,C30&gt;=0")</f>
        <v>0</v>
      </c>
      <c r="S36" s="815"/>
      <c r="T36" s="815"/>
      <c r="U36" s="815">
        <f>IF($K$36&gt;=0,0,"F12,C80&gt;=0")</f>
        <v>0</v>
      </c>
      <c r="V36" s="815">
        <f t="shared" si="3"/>
        <v>0</v>
      </c>
      <c r="W36" s="815">
        <f t="shared" si="4"/>
        <v>0</v>
      </c>
      <c r="X36" s="815">
        <f t="shared" si="5"/>
        <v>0</v>
      </c>
      <c r="Y36" s="815">
        <f t="shared" si="6"/>
        <v>0</v>
      </c>
    </row>
    <row r="37" spans="1:26" s="59" customFormat="1" ht="21">
      <c r="A37" s="1156" t="str">
        <f t="shared" si="1"/>
        <v>F-12.01_240</v>
      </c>
      <c r="B37" s="363">
        <v>240</v>
      </c>
      <c r="C37" s="1553" t="s">
        <v>127</v>
      </c>
      <c r="D37" s="216" t="s">
        <v>1711</v>
      </c>
      <c r="E37" s="950"/>
      <c r="F37" s="950"/>
      <c r="G37" s="911"/>
      <c r="H37" s="946"/>
      <c r="I37" s="946"/>
      <c r="J37" s="946"/>
      <c r="K37" s="911"/>
      <c r="L37" s="946"/>
      <c r="M37" s="686">
        <f t="shared" si="15"/>
        <v>0</v>
      </c>
      <c r="N37" s="911"/>
      <c r="O37" s="950"/>
      <c r="P37" s="815">
        <f>IF($E$37&lt;=0,0,"F12,c10&lt;=0")</f>
        <v>0</v>
      </c>
      <c r="Q37" s="815">
        <f>IF($F$37&lt;=0,0,"F12,c20&lt;=0")</f>
        <v>0</v>
      </c>
      <c r="R37" s="815">
        <f>IF($G$37&gt;=0,0,"F12,C30&gt;=0")</f>
        <v>0</v>
      </c>
      <c r="S37" s="815"/>
      <c r="T37" s="815"/>
      <c r="U37" s="815">
        <f>IF($K$37&gt;=0,0,"F12,C80&gt;=0")</f>
        <v>0</v>
      </c>
      <c r="V37" s="815">
        <f t="shared" si="3"/>
        <v>0</v>
      </c>
      <c r="W37" s="815">
        <f t="shared" si="4"/>
        <v>0</v>
      </c>
      <c r="X37" s="815">
        <f t="shared" si="5"/>
        <v>0</v>
      </c>
      <c r="Y37" s="815">
        <f t="shared" si="6"/>
        <v>0</v>
      </c>
    </row>
    <row r="38" spans="1:26" s="59" customFormat="1" ht="21" customHeight="1">
      <c r="A38" s="1156" t="str">
        <f t="shared" si="1"/>
        <v>F-12.01_250</v>
      </c>
      <c r="B38" s="363">
        <v>250</v>
      </c>
      <c r="C38" s="116" t="s">
        <v>61</v>
      </c>
      <c r="D38" s="216" t="s">
        <v>1715</v>
      </c>
      <c r="E38" s="686">
        <f t="shared" ref="E38:L38" si="16">SUM(E$39:E$44)</f>
        <v>0</v>
      </c>
      <c r="F38" s="686">
        <f t="shared" si="16"/>
        <v>0</v>
      </c>
      <c r="G38" s="686">
        <f t="shared" si="16"/>
        <v>0</v>
      </c>
      <c r="H38" s="686">
        <f t="shared" si="16"/>
        <v>0</v>
      </c>
      <c r="I38" s="686">
        <f t="shared" si="16"/>
        <v>0</v>
      </c>
      <c r="J38" s="686">
        <f t="shared" si="16"/>
        <v>0</v>
      </c>
      <c r="K38" s="686">
        <f t="shared" si="16"/>
        <v>0</v>
      </c>
      <c r="L38" s="686">
        <f t="shared" si="16"/>
        <v>0</v>
      </c>
      <c r="M38" s="686">
        <f>SUM(E38:L38)</f>
        <v>0</v>
      </c>
      <c r="N38" s="686">
        <f>SUM(N$39:N$44)</f>
        <v>0</v>
      </c>
      <c r="O38" s="686">
        <f>SUM(O$39:O$44)</f>
        <v>0</v>
      </c>
      <c r="P38" s="815">
        <f>IF($E$38&lt;=0,0,"F12,c10&lt;=0")</f>
        <v>0</v>
      </c>
      <c r="Q38" s="815">
        <f>IF($F$38&lt;=0,0,"F12,c20&lt;=0")</f>
        <v>0</v>
      </c>
      <c r="R38" s="815">
        <f>IF($G$38&gt;=0,0,"F12,C30&gt;=0")</f>
        <v>0</v>
      </c>
      <c r="S38" s="815"/>
      <c r="T38" s="815"/>
      <c r="U38" s="815">
        <f>IF($K$38&gt;=0,0,"F12,C80&gt;=0")</f>
        <v>0</v>
      </c>
      <c r="V38" s="815">
        <f t="shared" si="3"/>
        <v>0</v>
      </c>
      <c r="W38" s="815">
        <f t="shared" si="4"/>
        <v>0</v>
      </c>
      <c r="X38" s="815">
        <f t="shared" si="5"/>
        <v>0</v>
      </c>
      <c r="Y38" s="815">
        <f t="shared" si="6"/>
        <v>0</v>
      </c>
      <c r="Z38" s="815">
        <f>IF(M38='4'!K114+'4'!K148,0,"{F 12.01.a, r250, c100} = {F 04.03.1, r110, c060} + {F 04.04.1, r070, c060}")</f>
        <v>0</v>
      </c>
    </row>
    <row r="39" spans="1:26" s="59" customFormat="1" ht="21.75" customHeight="1">
      <c r="A39" s="1156" t="str">
        <f t="shared" si="1"/>
        <v>F-12.01_260</v>
      </c>
      <c r="B39" s="363">
        <v>260</v>
      </c>
      <c r="C39" s="1552" t="s">
        <v>99</v>
      </c>
      <c r="D39" s="216" t="s">
        <v>1713</v>
      </c>
      <c r="E39" s="950"/>
      <c r="F39" s="950"/>
      <c r="G39" s="911"/>
      <c r="H39" s="946"/>
      <c r="I39" s="946"/>
      <c r="J39" s="946"/>
      <c r="K39" s="911"/>
      <c r="L39" s="946"/>
      <c r="M39" s="686">
        <f t="shared" si="15"/>
        <v>0</v>
      </c>
      <c r="N39" s="911"/>
      <c r="O39" s="950"/>
      <c r="P39" s="815">
        <f>IF($E$39&lt;=0,0,"F12,c10&lt;=0")</f>
        <v>0</v>
      </c>
      <c r="Q39" s="815">
        <f>IF($F$39&lt;=0,0,"F12,c20&lt;=0")</f>
        <v>0</v>
      </c>
      <c r="R39" s="815">
        <f>IF($G$39&gt;=0,0,"F12,C30&gt;=0")</f>
        <v>0</v>
      </c>
      <c r="S39" s="815"/>
      <c r="T39" s="815"/>
      <c r="U39" s="815">
        <f>IF($K$39&gt;=0,0,"F12,C80&gt;=0")</f>
        <v>0</v>
      </c>
      <c r="V39" s="815">
        <f t="shared" si="3"/>
        <v>0</v>
      </c>
      <c r="W39" s="815">
        <f t="shared" si="4"/>
        <v>0</v>
      </c>
      <c r="X39" s="815">
        <f t="shared" si="5"/>
        <v>0</v>
      </c>
      <c r="Y39" s="815">
        <f t="shared" si="6"/>
        <v>0</v>
      </c>
    </row>
    <row r="40" spans="1:26" s="59" customFormat="1" ht="21">
      <c r="A40" s="1156" t="str">
        <f t="shared" si="1"/>
        <v>F-12.01_270</v>
      </c>
      <c r="B40" s="363">
        <v>270</v>
      </c>
      <c r="C40" s="1552" t="s">
        <v>100</v>
      </c>
      <c r="D40" s="216" t="s">
        <v>1714</v>
      </c>
      <c r="E40" s="950"/>
      <c r="F40" s="950"/>
      <c r="G40" s="911"/>
      <c r="H40" s="946"/>
      <c r="I40" s="946"/>
      <c r="J40" s="946"/>
      <c r="K40" s="911"/>
      <c r="L40" s="946"/>
      <c r="M40" s="686">
        <f t="shared" si="15"/>
        <v>0</v>
      </c>
      <c r="N40" s="911"/>
      <c r="O40" s="950"/>
      <c r="P40" s="815">
        <f>IF($E$40&lt;=0,0,"F12,c10&lt;=0")</f>
        <v>0</v>
      </c>
      <c r="Q40" s="815">
        <f>IF($F$40&lt;=0,0,"F12,c20&lt;=0")</f>
        <v>0</v>
      </c>
      <c r="R40" s="815">
        <f>IF($G$40&gt;=0,0,"F12,C30&gt;=0")</f>
        <v>0</v>
      </c>
      <c r="S40" s="815"/>
      <c r="T40" s="815"/>
      <c r="U40" s="815">
        <f>IF($K$40&gt;=0,0,"F12,C80&gt;=0")</f>
        <v>0</v>
      </c>
      <c r="V40" s="815">
        <f t="shared" si="3"/>
        <v>0</v>
      </c>
      <c r="W40" s="815">
        <f t="shared" si="4"/>
        <v>0</v>
      </c>
      <c r="X40" s="815">
        <f t="shared" si="5"/>
        <v>0</v>
      </c>
      <c r="Y40" s="815">
        <f t="shared" si="6"/>
        <v>0</v>
      </c>
    </row>
    <row r="41" spans="1:26" s="59" customFormat="1" ht="21">
      <c r="A41" s="1156" t="str">
        <f t="shared" si="1"/>
        <v>F-12.01_280</v>
      </c>
      <c r="B41" s="363">
        <v>280</v>
      </c>
      <c r="C41" s="1552" t="s">
        <v>101</v>
      </c>
      <c r="D41" s="216" t="s">
        <v>1709</v>
      </c>
      <c r="E41" s="950"/>
      <c r="F41" s="950"/>
      <c r="G41" s="911"/>
      <c r="H41" s="946"/>
      <c r="I41" s="946"/>
      <c r="J41" s="946"/>
      <c r="K41" s="911"/>
      <c r="L41" s="946"/>
      <c r="M41" s="686">
        <f t="shared" si="15"/>
        <v>0</v>
      </c>
      <c r="N41" s="911"/>
      <c r="O41" s="950"/>
      <c r="P41" s="815">
        <f>IF($E$41&lt;=0,0,"F12,c10&lt;=0")</f>
        <v>0</v>
      </c>
      <c r="Q41" s="815">
        <f>IF($F$41&lt;=0,0,"F12,c20&lt;=0")</f>
        <v>0</v>
      </c>
      <c r="R41" s="815">
        <f>IF($G$41&gt;=0,0,"F12,C30&gt;=0")</f>
        <v>0</v>
      </c>
      <c r="S41" s="815"/>
      <c r="T41" s="815"/>
      <c r="U41" s="815">
        <f>IF($K$41&gt;=0,0,"F12,C80&gt;=0")</f>
        <v>0</v>
      </c>
      <c r="V41" s="815">
        <f t="shared" si="3"/>
        <v>0</v>
      </c>
      <c r="W41" s="815">
        <f t="shared" si="4"/>
        <v>0</v>
      </c>
      <c r="X41" s="815">
        <f t="shared" si="5"/>
        <v>0</v>
      </c>
      <c r="Y41" s="815">
        <f t="shared" si="6"/>
        <v>0</v>
      </c>
    </row>
    <row r="42" spans="1:26" s="59" customFormat="1" ht="21">
      <c r="A42" s="1156" t="str">
        <f t="shared" si="1"/>
        <v>F-12.01_290</v>
      </c>
      <c r="B42" s="363">
        <v>290</v>
      </c>
      <c r="C42" s="1552" t="s">
        <v>102</v>
      </c>
      <c r="D42" s="216" t="s">
        <v>1710</v>
      </c>
      <c r="E42" s="950"/>
      <c r="F42" s="950"/>
      <c r="G42" s="911"/>
      <c r="H42" s="946"/>
      <c r="I42" s="946"/>
      <c r="J42" s="946"/>
      <c r="K42" s="911"/>
      <c r="L42" s="946"/>
      <c r="M42" s="686">
        <f t="shared" si="15"/>
        <v>0</v>
      </c>
      <c r="N42" s="911"/>
      <c r="O42" s="950"/>
      <c r="P42" s="815">
        <f>IF($E$42&lt;=0,0,"F12,c10&lt;=0")</f>
        <v>0</v>
      </c>
      <c r="Q42" s="815">
        <f>IF($F$42&lt;=0,0,"F12,c20&lt;=0")</f>
        <v>0</v>
      </c>
      <c r="R42" s="815">
        <f>IF($G$42&gt;=0,0,"F12,C30&gt;=0")</f>
        <v>0</v>
      </c>
      <c r="S42" s="815"/>
      <c r="T42" s="815"/>
      <c r="U42" s="815">
        <f>IF($K$42&gt;=0,0,"F12,C80&gt;=0")</f>
        <v>0</v>
      </c>
      <c r="V42" s="815">
        <f t="shared" si="3"/>
        <v>0</v>
      </c>
      <c r="W42" s="815">
        <f t="shared" si="4"/>
        <v>0</v>
      </c>
      <c r="X42" s="815">
        <f t="shared" si="5"/>
        <v>0</v>
      </c>
      <c r="Y42" s="815">
        <f t="shared" si="6"/>
        <v>0</v>
      </c>
    </row>
    <row r="43" spans="1:26" s="59" customFormat="1" ht="21">
      <c r="A43" s="1156" t="str">
        <f t="shared" si="1"/>
        <v>F-12.01_300</v>
      </c>
      <c r="B43" s="361">
        <v>300</v>
      </c>
      <c r="C43" s="1553" t="s">
        <v>127</v>
      </c>
      <c r="D43" s="14" t="s">
        <v>1711</v>
      </c>
      <c r="E43" s="950"/>
      <c r="F43" s="950"/>
      <c r="G43" s="911"/>
      <c r="H43" s="946"/>
      <c r="I43" s="946"/>
      <c r="J43" s="946"/>
      <c r="K43" s="911"/>
      <c r="L43" s="946"/>
      <c r="M43" s="686">
        <f t="shared" si="15"/>
        <v>0</v>
      </c>
      <c r="N43" s="911"/>
      <c r="O43" s="950"/>
      <c r="P43" s="815">
        <f>IF($E$43&lt;=0,0,"F12,c10&lt;=0")</f>
        <v>0</v>
      </c>
      <c r="Q43" s="815">
        <f>IF($F$43&lt;=0,0,"F12,c20&lt;=0")</f>
        <v>0</v>
      </c>
      <c r="R43" s="815">
        <f>IF($G$43&gt;=0,0,"F12,C30&gt;=0")</f>
        <v>0</v>
      </c>
      <c r="S43" s="815"/>
      <c r="T43" s="815"/>
      <c r="U43" s="815">
        <f>IF($K$43&gt;=0,0,"F12,C80&gt;=0")</f>
        <v>0</v>
      </c>
      <c r="V43" s="815">
        <f t="shared" si="3"/>
        <v>0</v>
      </c>
      <c r="W43" s="815">
        <f t="shared" si="4"/>
        <v>0</v>
      </c>
      <c r="X43" s="815">
        <f t="shared" si="5"/>
        <v>0</v>
      </c>
      <c r="Y43" s="815">
        <f t="shared" si="6"/>
        <v>0</v>
      </c>
    </row>
    <row r="44" spans="1:26" s="59" customFormat="1" ht="21">
      <c r="A44" s="1156" t="str">
        <f t="shared" si="1"/>
        <v>F-12.01_310</v>
      </c>
      <c r="B44" s="361">
        <v>310</v>
      </c>
      <c r="C44" s="1553" t="s">
        <v>128</v>
      </c>
      <c r="D44" s="14" t="s">
        <v>1717</v>
      </c>
      <c r="E44" s="950"/>
      <c r="F44" s="950"/>
      <c r="G44" s="911"/>
      <c r="H44" s="946"/>
      <c r="I44" s="946"/>
      <c r="J44" s="946"/>
      <c r="K44" s="911"/>
      <c r="L44" s="946"/>
      <c r="M44" s="686">
        <f t="shared" si="15"/>
        <v>0</v>
      </c>
      <c r="N44" s="911"/>
      <c r="O44" s="950"/>
      <c r="P44" s="815">
        <f>IF($E44&lt;=0,0,"F12,c10&lt;=0")</f>
        <v>0</v>
      </c>
      <c r="Q44" s="815">
        <f>IF($F44&lt;=0,0,"F12,c20&lt;=0")</f>
        <v>0</v>
      </c>
      <c r="R44" s="815">
        <f>IF($G44&gt;=0,0,"F12,C30&gt;=0")</f>
        <v>0</v>
      </c>
      <c r="S44" s="815"/>
      <c r="T44" s="815"/>
      <c r="U44" s="815">
        <f>IF($K44&gt;=0,0,"F12,C80&gt;=0")</f>
        <v>0</v>
      </c>
      <c r="V44" s="815">
        <f t="shared" si="3"/>
        <v>0</v>
      </c>
      <c r="W44" s="815">
        <f t="shared" si="4"/>
        <v>0</v>
      </c>
      <c r="X44" s="815">
        <f t="shared" si="5"/>
        <v>0</v>
      </c>
      <c r="Y44" s="815">
        <f t="shared" si="6"/>
        <v>0</v>
      </c>
    </row>
    <row r="45" spans="1:26" s="59" customFormat="1" ht="31.5">
      <c r="A45" s="1156" t="str">
        <f t="shared" si="1"/>
        <v>F-12.01_330</v>
      </c>
      <c r="B45" s="361">
        <v>330</v>
      </c>
      <c r="C45" s="1635" t="s">
        <v>2148</v>
      </c>
      <c r="D45" s="14" t="s">
        <v>2149</v>
      </c>
      <c r="E45" s="950"/>
      <c r="F45" s="950"/>
      <c r="G45" s="911"/>
      <c r="H45" s="946"/>
      <c r="I45" s="946"/>
      <c r="J45" s="946"/>
      <c r="K45" s="911"/>
      <c r="L45" s="946"/>
      <c r="M45" s="686">
        <f t="shared" si="15"/>
        <v>0</v>
      </c>
      <c r="N45" s="911"/>
      <c r="O45" s="950"/>
      <c r="P45" s="815">
        <f t="shared" ref="P45:P47" si="17">IF($E45&lt;=0,0,"F12,c10&lt;=0")</f>
        <v>0</v>
      </c>
      <c r="Q45" s="815">
        <f t="shared" ref="Q45:Q47" si="18">IF($F45&lt;=0,0,"F12,c20&lt;=0")</f>
        <v>0</v>
      </c>
      <c r="R45" s="815">
        <f t="shared" ref="R45:R47" si="19">IF($G45&gt;=0,0,"F12,C30&gt;=0")</f>
        <v>0</v>
      </c>
      <c r="S45" s="815"/>
      <c r="T45" s="815"/>
      <c r="U45" s="815">
        <f>IF($K45&gt;=0,0,"F12,C80&gt;=0")</f>
        <v>0</v>
      </c>
      <c r="V45" s="815">
        <f t="shared" si="3"/>
        <v>0</v>
      </c>
      <c r="W45" s="815">
        <f t="shared" si="4"/>
        <v>0</v>
      </c>
      <c r="X45" s="815">
        <f t="shared" si="5"/>
        <v>0</v>
      </c>
      <c r="Y45" s="815">
        <f t="shared" si="6"/>
        <v>0</v>
      </c>
    </row>
    <row r="46" spans="1:26" s="59" customFormat="1" ht="31.5">
      <c r="A46" s="1156" t="str">
        <f t="shared" si="1"/>
        <v>F-12.01_340</v>
      </c>
      <c r="B46" s="361">
        <v>340</v>
      </c>
      <c r="C46" s="1636" t="s">
        <v>2150</v>
      </c>
      <c r="D46" s="1616" t="s">
        <v>2149</v>
      </c>
      <c r="E46" s="950"/>
      <c r="F46" s="950"/>
      <c r="G46" s="911"/>
      <c r="H46" s="946"/>
      <c r="I46" s="946"/>
      <c r="J46" s="946"/>
      <c r="K46" s="911"/>
      <c r="L46" s="946"/>
      <c r="M46" s="686">
        <f t="shared" si="15"/>
        <v>0</v>
      </c>
      <c r="N46" s="911"/>
      <c r="O46" s="950"/>
      <c r="P46" s="815">
        <f t="shared" si="17"/>
        <v>0</v>
      </c>
      <c r="Q46" s="815">
        <f t="shared" si="18"/>
        <v>0</v>
      </c>
      <c r="R46" s="815">
        <f t="shared" si="19"/>
        <v>0</v>
      </c>
      <c r="S46" s="815"/>
      <c r="T46" s="815"/>
      <c r="U46" s="815">
        <f>IF($K46&gt;=0,0,"F12,C80&gt;=0")</f>
        <v>0</v>
      </c>
      <c r="V46" s="815">
        <f t="shared" si="3"/>
        <v>0</v>
      </c>
      <c r="W46" s="815">
        <f t="shared" si="4"/>
        <v>0</v>
      </c>
      <c r="X46" s="815">
        <f t="shared" si="5"/>
        <v>0</v>
      </c>
      <c r="Y46" s="815">
        <f t="shared" si="6"/>
        <v>0</v>
      </c>
    </row>
    <row r="47" spans="1:26" s="59" customFormat="1" ht="21">
      <c r="A47" s="1156" t="str">
        <f t="shared" si="1"/>
        <v>F-12.01_350</v>
      </c>
      <c r="B47" s="401">
        <v>350</v>
      </c>
      <c r="C47" s="1637" t="s">
        <v>696</v>
      </c>
      <c r="D47" s="43" t="s">
        <v>2153</v>
      </c>
      <c r="E47" s="950"/>
      <c r="F47" s="970"/>
      <c r="G47" s="970"/>
      <c r="H47" s="970"/>
      <c r="I47" s="946"/>
      <c r="J47" s="970"/>
      <c r="K47" s="911"/>
      <c r="L47" s="970"/>
      <c r="M47" s="686">
        <f t="shared" si="15"/>
        <v>0</v>
      </c>
      <c r="N47" s="970"/>
      <c r="O47" s="950"/>
      <c r="P47" s="815">
        <f t="shared" si="17"/>
        <v>0</v>
      </c>
      <c r="Q47" s="815">
        <f t="shared" si="18"/>
        <v>0</v>
      </c>
      <c r="R47" s="815">
        <f t="shared" si="19"/>
        <v>0</v>
      </c>
      <c r="S47" s="815"/>
      <c r="T47" s="815"/>
      <c r="U47" s="815">
        <f>IF($K47&gt;=0,0,"F12,C80&gt;=0")</f>
        <v>0</v>
      </c>
      <c r="V47" s="815">
        <f t="shared" ref="V47:V64" si="20">IF($M47&lt;=0,0,"F12,C100&lt;=0")</f>
        <v>0</v>
      </c>
      <c r="W47" s="815">
        <f t="shared" ref="W47:W69" si="21">IF($N47&gt;=0,0,"F12,C110&lt;=0")</f>
        <v>0</v>
      </c>
      <c r="X47" s="815">
        <f t="shared" ref="X47:X69" si="22">IF($O47&lt;=0,0,"F12,C120&lt;=0")</f>
        <v>0</v>
      </c>
      <c r="Y47" s="815">
        <f t="shared" si="6"/>
        <v>0</v>
      </c>
    </row>
    <row r="48" spans="1:26" s="59" customFormat="1" ht="21">
      <c r="A48" s="1156" t="str">
        <f t="shared" si="1"/>
        <v>F-12.01_360</v>
      </c>
      <c r="B48" s="376">
        <v>360</v>
      </c>
      <c r="C48" s="1554" t="s">
        <v>2154</v>
      </c>
      <c r="D48" s="1555" t="s">
        <v>2155</v>
      </c>
      <c r="E48" s="686">
        <f>$E$49+$E$55</f>
        <v>0</v>
      </c>
      <c r="F48" s="686">
        <f>F$49+F$55</f>
        <v>0</v>
      </c>
      <c r="G48" s="686">
        <f t="shared" ref="G48:O48" si="23">G$49+G$55</f>
        <v>0</v>
      </c>
      <c r="H48" s="686">
        <f t="shared" si="23"/>
        <v>0</v>
      </c>
      <c r="I48" s="686">
        <f>I$49+I$55</f>
        <v>0</v>
      </c>
      <c r="J48" s="686">
        <f>J$49+J$55</f>
        <v>0</v>
      </c>
      <c r="K48" s="686">
        <f t="shared" si="23"/>
        <v>0</v>
      </c>
      <c r="L48" s="686">
        <f t="shared" si="23"/>
        <v>0</v>
      </c>
      <c r="M48" s="686">
        <f>M$49+M$55</f>
        <v>0</v>
      </c>
      <c r="N48" s="686">
        <f t="shared" si="23"/>
        <v>0</v>
      </c>
      <c r="O48" s="686">
        <f t="shared" si="23"/>
        <v>0</v>
      </c>
      <c r="P48" s="815">
        <f>IF($E$48&lt;=0,0,"F12,c10&lt;=0")</f>
        <v>0</v>
      </c>
      <c r="Q48" s="815">
        <f>IF($F$48&lt;=0,0,"F12,c20&lt;=0")</f>
        <v>0</v>
      </c>
      <c r="R48" s="815">
        <f>IF($G$48&gt;=0,0,"F12,C30&gt;=0")</f>
        <v>0</v>
      </c>
      <c r="S48" s="815"/>
      <c r="T48" s="815"/>
      <c r="U48" s="815">
        <f>IF($K$48&gt;=0,0,"F12,C80&gt;=0")</f>
        <v>0</v>
      </c>
      <c r="V48" s="815">
        <f t="shared" si="20"/>
        <v>0</v>
      </c>
      <c r="W48" s="815">
        <f t="shared" si="21"/>
        <v>0</v>
      </c>
      <c r="X48" s="815">
        <f t="shared" si="22"/>
        <v>0</v>
      </c>
      <c r="Y48" s="815">
        <f t="shared" si="6"/>
        <v>0</v>
      </c>
      <c r="Z48" s="815">
        <f>IF(M48='4'!L121+'4'!L155,0,"{F 12.01.a, r360, c100} = {F 04.03.1, r180, c070} + {F 04.04.1, r140, c070}")</f>
        <v>0</v>
      </c>
    </row>
    <row r="49" spans="1:26" s="59" customFormat="1" ht="21.75" customHeight="1">
      <c r="A49" s="1156" t="str">
        <f t="shared" si="1"/>
        <v>F-12.01_370</v>
      </c>
      <c r="B49" s="363">
        <v>370</v>
      </c>
      <c r="C49" s="1551" t="s">
        <v>55</v>
      </c>
      <c r="D49" s="14" t="s">
        <v>1712</v>
      </c>
      <c r="E49" s="950"/>
      <c r="F49" s="950"/>
      <c r="G49" s="911"/>
      <c r="H49" s="946"/>
      <c r="I49" s="946"/>
      <c r="J49" s="946"/>
      <c r="K49" s="911"/>
      <c r="L49" s="946"/>
      <c r="M49" s="686">
        <f t="shared" ref="M49:M64" si="24">SUM(E49:L49)</f>
        <v>0</v>
      </c>
      <c r="N49" s="911"/>
      <c r="O49" s="950"/>
      <c r="P49" s="815">
        <f>IF($E49&lt;=0,0,"F12,c10&lt;=0")</f>
        <v>0</v>
      </c>
      <c r="Q49" s="815">
        <f>IF($F49&lt;=0,0,"F12,c20&lt;=0")</f>
        <v>0</v>
      </c>
      <c r="R49" s="815">
        <f>IF($G49&gt;=0,0,"F12,C30&gt;=0")</f>
        <v>0</v>
      </c>
      <c r="S49" s="815"/>
      <c r="T49" s="815"/>
      <c r="U49" s="815">
        <f t="shared" ref="U49:U64" si="25">IF($K49&gt;=0,0,"F12,C80&gt;=0")</f>
        <v>0</v>
      </c>
      <c r="V49" s="815">
        <f t="shared" si="20"/>
        <v>0</v>
      </c>
      <c r="W49" s="815">
        <f t="shared" si="21"/>
        <v>0</v>
      </c>
      <c r="X49" s="815">
        <f t="shared" si="22"/>
        <v>0</v>
      </c>
      <c r="Y49" s="815">
        <f t="shared" si="6"/>
        <v>0</v>
      </c>
      <c r="Z49" s="815">
        <f>IF(M49='4'!L108+'4'!L142,0,"{F 12.01.a, r370, c100} = {F 04.03.1, r050, c070} + {F 04.04.1, r010, c070}")</f>
        <v>0</v>
      </c>
    </row>
    <row r="50" spans="1:26" s="59" customFormat="1" ht="21.75" customHeight="1">
      <c r="A50" s="1156" t="str">
        <f t="shared" si="1"/>
        <v>F-12.01_380</v>
      </c>
      <c r="B50" s="363">
        <v>380</v>
      </c>
      <c r="C50" s="1552" t="s">
        <v>99</v>
      </c>
      <c r="D50" s="216" t="s">
        <v>1713</v>
      </c>
      <c r="E50" s="950"/>
      <c r="F50" s="950"/>
      <c r="G50" s="911"/>
      <c r="H50" s="946"/>
      <c r="I50" s="946"/>
      <c r="J50" s="946"/>
      <c r="K50" s="911"/>
      <c r="L50" s="946"/>
      <c r="M50" s="686">
        <f t="shared" si="24"/>
        <v>0</v>
      </c>
      <c r="N50" s="911"/>
      <c r="O50" s="950"/>
      <c r="P50" s="815">
        <f t="shared" ref="P50:P54" si="26">IF($E50&lt;=0,0,"F12,c10&lt;=0")</f>
        <v>0</v>
      </c>
      <c r="Q50" s="815">
        <f t="shared" ref="Q50:Q54" si="27">IF($F50&lt;=0,0,"F12,c20&lt;=0")</f>
        <v>0</v>
      </c>
      <c r="R50" s="815">
        <f t="shared" ref="R50:R54" si="28">IF($G50&gt;=0,0,"F12,C30&gt;=0")</f>
        <v>0</v>
      </c>
      <c r="S50" s="815"/>
      <c r="T50" s="815"/>
      <c r="U50" s="815">
        <f t="shared" si="25"/>
        <v>0</v>
      </c>
      <c r="V50" s="815">
        <f t="shared" si="20"/>
        <v>0</v>
      </c>
      <c r="W50" s="815">
        <f t="shared" si="21"/>
        <v>0</v>
      </c>
      <c r="X50" s="815">
        <f t="shared" si="22"/>
        <v>0</v>
      </c>
      <c r="Y50" s="815">
        <f t="shared" si="6"/>
        <v>0</v>
      </c>
    </row>
    <row r="51" spans="1:26" s="59" customFormat="1" ht="21.75" customHeight="1">
      <c r="A51" s="1156" t="str">
        <f t="shared" si="1"/>
        <v>F-12.01_390</v>
      </c>
      <c r="B51" s="363">
        <v>390</v>
      </c>
      <c r="C51" s="1552" t="s">
        <v>100</v>
      </c>
      <c r="D51" s="216" t="s">
        <v>1714</v>
      </c>
      <c r="E51" s="950"/>
      <c r="F51" s="950"/>
      <c r="G51" s="911"/>
      <c r="H51" s="946"/>
      <c r="I51" s="946"/>
      <c r="J51" s="946"/>
      <c r="K51" s="911"/>
      <c r="L51" s="946"/>
      <c r="M51" s="686">
        <f t="shared" si="24"/>
        <v>0</v>
      </c>
      <c r="N51" s="911"/>
      <c r="O51" s="950"/>
      <c r="P51" s="815">
        <f t="shared" si="26"/>
        <v>0</v>
      </c>
      <c r="Q51" s="815">
        <f t="shared" si="27"/>
        <v>0</v>
      </c>
      <c r="R51" s="815">
        <f t="shared" si="28"/>
        <v>0</v>
      </c>
      <c r="S51" s="815"/>
      <c r="T51" s="815"/>
      <c r="U51" s="815">
        <f t="shared" si="25"/>
        <v>0</v>
      </c>
      <c r="V51" s="815">
        <f t="shared" si="20"/>
        <v>0</v>
      </c>
      <c r="W51" s="815">
        <f t="shared" si="21"/>
        <v>0</v>
      </c>
      <c r="X51" s="815">
        <f t="shared" si="22"/>
        <v>0</v>
      </c>
      <c r="Y51" s="815">
        <f t="shared" si="6"/>
        <v>0</v>
      </c>
    </row>
    <row r="52" spans="1:26" s="59" customFormat="1" ht="21.75" customHeight="1">
      <c r="A52" s="1156" t="str">
        <f t="shared" si="1"/>
        <v>F-12.01_400</v>
      </c>
      <c r="B52" s="363">
        <v>400</v>
      </c>
      <c r="C52" s="1552" t="s">
        <v>101</v>
      </c>
      <c r="D52" s="216" t="s">
        <v>1709</v>
      </c>
      <c r="E52" s="950"/>
      <c r="F52" s="950"/>
      <c r="G52" s="911"/>
      <c r="H52" s="946"/>
      <c r="I52" s="946"/>
      <c r="J52" s="946"/>
      <c r="K52" s="911"/>
      <c r="L52" s="946"/>
      <c r="M52" s="686">
        <f t="shared" si="24"/>
        <v>0</v>
      </c>
      <c r="N52" s="911"/>
      <c r="O52" s="950"/>
      <c r="P52" s="815">
        <f t="shared" si="26"/>
        <v>0</v>
      </c>
      <c r="Q52" s="815">
        <f t="shared" si="27"/>
        <v>0</v>
      </c>
      <c r="R52" s="815">
        <f t="shared" si="28"/>
        <v>0</v>
      </c>
      <c r="S52" s="815"/>
      <c r="T52" s="815"/>
      <c r="U52" s="815">
        <f t="shared" si="25"/>
        <v>0</v>
      </c>
      <c r="V52" s="815">
        <f t="shared" si="20"/>
        <v>0</v>
      </c>
      <c r="W52" s="815">
        <f t="shared" si="21"/>
        <v>0</v>
      </c>
      <c r="X52" s="815">
        <f t="shared" si="22"/>
        <v>0</v>
      </c>
      <c r="Y52" s="815">
        <f t="shared" si="6"/>
        <v>0</v>
      </c>
    </row>
    <row r="53" spans="1:26" s="59" customFormat="1" ht="21.75" customHeight="1">
      <c r="A53" s="1156" t="str">
        <f t="shared" si="1"/>
        <v>F-12.01_410</v>
      </c>
      <c r="B53" s="363">
        <v>410</v>
      </c>
      <c r="C53" s="1552" t="s">
        <v>102</v>
      </c>
      <c r="D53" s="216" t="s">
        <v>1710</v>
      </c>
      <c r="E53" s="950"/>
      <c r="F53" s="950"/>
      <c r="G53" s="911"/>
      <c r="H53" s="946"/>
      <c r="I53" s="946"/>
      <c r="J53" s="946"/>
      <c r="K53" s="911"/>
      <c r="L53" s="946"/>
      <c r="M53" s="686">
        <f t="shared" si="24"/>
        <v>0</v>
      </c>
      <c r="N53" s="911"/>
      <c r="O53" s="950"/>
      <c r="P53" s="815">
        <f t="shared" si="26"/>
        <v>0</v>
      </c>
      <c r="Q53" s="815">
        <f t="shared" si="27"/>
        <v>0</v>
      </c>
      <c r="R53" s="815">
        <f t="shared" si="28"/>
        <v>0</v>
      </c>
      <c r="S53" s="815"/>
      <c r="T53" s="815"/>
      <c r="U53" s="815">
        <f t="shared" si="25"/>
        <v>0</v>
      </c>
      <c r="V53" s="815">
        <f t="shared" si="20"/>
        <v>0</v>
      </c>
      <c r="W53" s="815">
        <f t="shared" si="21"/>
        <v>0</v>
      </c>
      <c r="X53" s="815">
        <f t="shared" si="22"/>
        <v>0</v>
      </c>
      <c r="Y53" s="815">
        <f t="shared" si="6"/>
        <v>0</v>
      </c>
    </row>
    <row r="54" spans="1:26" s="59" customFormat="1" ht="21.75" customHeight="1">
      <c r="A54" s="1156" t="str">
        <f t="shared" si="1"/>
        <v>F-12.01_420</v>
      </c>
      <c r="B54" s="363">
        <v>420</v>
      </c>
      <c r="C54" s="1553" t="s">
        <v>127</v>
      </c>
      <c r="D54" s="216" t="s">
        <v>1711</v>
      </c>
      <c r="E54" s="950"/>
      <c r="F54" s="950"/>
      <c r="G54" s="911"/>
      <c r="H54" s="946"/>
      <c r="I54" s="946"/>
      <c r="J54" s="946"/>
      <c r="K54" s="911"/>
      <c r="L54" s="946"/>
      <c r="M54" s="686">
        <f t="shared" si="24"/>
        <v>0</v>
      </c>
      <c r="N54" s="911"/>
      <c r="O54" s="950"/>
      <c r="P54" s="815">
        <f t="shared" si="26"/>
        <v>0</v>
      </c>
      <c r="Q54" s="815">
        <f t="shared" si="27"/>
        <v>0</v>
      </c>
      <c r="R54" s="815">
        <f t="shared" si="28"/>
        <v>0</v>
      </c>
      <c r="S54" s="815"/>
      <c r="T54" s="815"/>
      <c r="U54" s="815">
        <f t="shared" si="25"/>
        <v>0</v>
      </c>
      <c r="V54" s="815">
        <f t="shared" si="20"/>
        <v>0</v>
      </c>
      <c r="W54" s="815">
        <f t="shared" si="21"/>
        <v>0</v>
      </c>
      <c r="X54" s="815">
        <f t="shared" si="22"/>
        <v>0</v>
      </c>
      <c r="Y54" s="815">
        <f t="shared" si="6"/>
        <v>0</v>
      </c>
    </row>
    <row r="55" spans="1:26" s="59" customFormat="1" ht="21.75" customHeight="1">
      <c r="A55" s="1156" t="str">
        <f t="shared" si="1"/>
        <v>F-12.01_430</v>
      </c>
      <c r="B55" s="363">
        <v>430</v>
      </c>
      <c r="C55" s="116" t="s">
        <v>61</v>
      </c>
      <c r="D55" s="216" t="s">
        <v>1715</v>
      </c>
      <c r="E55" s="950"/>
      <c r="F55" s="950"/>
      <c r="G55" s="911"/>
      <c r="H55" s="946"/>
      <c r="I55" s="946"/>
      <c r="J55" s="946"/>
      <c r="K55" s="911"/>
      <c r="L55" s="946"/>
      <c r="M55" s="686">
        <f t="shared" si="24"/>
        <v>0</v>
      </c>
      <c r="N55" s="911"/>
      <c r="O55" s="950"/>
      <c r="P55" s="815">
        <f>IF($E55&lt;=0,0,"F12,c10&lt;=0")</f>
        <v>0</v>
      </c>
      <c r="Q55" s="815">
        <f>IF($F55&lt;=0,0,"F12,c20&lt;=0")</f>
        <v>0</v>
      </c>
      <c r="R55" s="815">
        <f>IF($G55&gt;=0,0,"F12,C30&gt;=0")</f>
        <v>0</v>
      </c>
      <c r="S55" s="815"/>
      <c r="T55" s="815"/>
      <c r="U55" s="815">
        <f t="shared" si="25"/>
        <v>0</v>
      </c>
      <c r="V55" s="815">
        <f t="shared" si="20"/>
        <v>0</v>
      </c>
      <c r="W55" s="815">
        <f t="shared" si="21"/>
        <v>0</v>
      </c>
      <c r="X55" s="815">
        <f t="shared" si="22"/>
        <v>0</v>
      </c>
      <c r="Y55" s="815">
        <f t="shared" si="6"/>
        <v>0</v>
      </c>
      <c r="Z55" s="815">
        <f>IF(M55='4'!L114+'4'!L148,0,"{F 12.01.a, r430, c100} = {F 04.03.1, r110, c070} + {F 04.04.1, r070, c070}")</f>
        <v>0</v>
      </c>
    </row>
    <row r="56" spans="1:26" s="59" customFormat="1" ht="21.75" customHeight="1">
      <c r="A56" s="1156" t="str">
        <f t="shared" si="1"/>
        <v>F-12.01_440</v>
      </c>
      <c r="B56" s="363">
        <v>440</v>
      </c>
      <c r="C56" s="1552" t="s">
        <v>99</v>
      </c>
      <c r="D56" s="216" t="s">
        <v>1713</v>
      </c>
      <c r="E56" s="950"/>
      <c r="F56" s="950"/>
      <c r="G56" s="911"/>
      <c r="H56" s="946"/>
      <c r="I56" s="946"/>
      <c r="J56" s="946"/>
      <c r="K56" s="911"/>
      <c r="L56" s="946"/>
      <c r="M56" s="686">
        <f t="shared" si="24"/>
        <v>0</v>
      </c>
      <c r="N56" s="911"/>
      <c r="O56" s="950"/>
      <c r="P56" s="815">
        <f t="shared" ref="P56:P63" si="29">IF($E56&lt;=0,0,"F12,c10&lt;=0")</f>
        <v>0</v>
      </c>
      <c r="Q56" s="815">
        <f t="shared" ref="Q56:Q63" si="30">IF($F56&lt;=0,0,"F12,c20&lt;=0")</f>
        <v>0</v>
      </c>
      <c r="R56" s="815">
        <f t="shared" ref="R56:R63" si="31">IF($G56&gt;=0,0,"F12,C30&gt;=0")</f>
        <v>0</v>
      </c>
      <c r="S56" s="815"/>
      <c r="T56" s="815"/>
      <c r="U56" s="815">
        <f t="shared" si="25"/>
        <v>0</v>
      </c>
      <c r="V56" s="815">
        <f t="shared" si="20"/>
        <v>0</v>
      </c>
      <c r="W56" s="815">
        <f t="shared" si="21"/>
        <v>0</v>
      </c>
      <c r="X56" s="815">
        <f t="shared" si="22"/>
        <v>0</v>
      </c>
      <c r="Y56" s="815">
        <f t="shared" si="6"/>
        <v>0</v>
      </c>
    </row>
    <row r="57" spans="1:26" s="59" customFormat="1" ht="21.75" customHeight="1">
      <c r="A57" s="1156" t="str">
        <f t="shared" si="1"/>
        <v>F-12.01_450</v>
      </c>
      <c r="B57" s="363">
        <v>450</v>
      </c>
      <c r="C57" s="1552" t="s">
        <v>100</v>
      </c>
      <c r="D57" s="216" t="s">
        <v>1714</v>
      </c>
      <c r="E57" s="950"/>
      <c r="F57" s="950"/>
      <c r="G57" s="911"/>
      <c r="H57" s="946"/>
      <c r="I57" s="946"/>
      <c r="J57" s="946"/>
      <c r="K57" s="911"/>
      <c r="L57" s="946"/>
      <c r="M57" s="686">
        <f t="shared" si="24"/>
        <v>0</v>
      </c>
      <c r="N57" s="911"/>
      <c r="O57" s="950"/>
      <c r="P57" s="815">
        <f t="shared" si="29"/>
        <v>0</v>
      </c>
      <c r="Q57" s="815">
        <f t="shared" si="30"/>
        <v>0</v>
      </c>
      <c r="R57" s="815">
        <f t="shared" si="31"/>
        <v>0</v>
      </c>
      <c r="S57" s="815"/>
      <c r="T57" s="815"/>
      <c r="U57" s="815">
        <f t="shared" si="25"/>
        <v>0</v>
      </c>
      <c r="V57" s="815">
        <f t="shared" si="20"/>
        <v>0</v>
      </c>
      <c r="W57" s="815">
        <f t="shared" si="21"/>
        <v>0</v>
      </c>
      <c r="X57" s="815">
        <f t="shared" si="22"/>
        <v>0</v>
      </c>
      <c r="Y57" s="815">
        <f t="shared" si="6"/>
        <v>0</v>
      </c>
    </row>
    <row r="58" spans="1:26" s="59" customFormat="1" ht="21.75" customHeight="1">
      <c r="A58" s="1156" t="str">
        <f t="shared" si="1"/>
        <v>F-12.01_460</v>
      </c>
      <c r="B58" s="363">
        <v>460</v>
      </c>
      <c r="C58" s="1552" t="s">
        <v>101</v>
      </c>
      <c r="D58" s="216" t="s">
        <v>1709</v>
      </c>
      <c r="E58" s="950"/>
      <c r="F58" s="950"/>
      <c r="G58" s="911"/>
      <c r="H58" s="946"/>
      <c r="I58" s="946"/>
      <c r="J58" s="946"/>
      <c r="K58" s="911"/>
      <c r="L58" s="946"/>
      <c r="M58" s="686">
        <f t="shared" si="24"/>
        <v>0</v>
      </c>
      <c r="N58" s="911"/>
      <c r="O58" s="950"/>
      <c r="P58" s="815">
        <f t="shared" si="29"/>
        <v>0</v>
      </c>
      <c r="Q58" s="815">
        <f t="shared" si="30"/>
        <v>0</v>
      </c>
      <c r="R58" s="815">
        <f t="shared" si="31"/>
        <v>0</v>
      </c>
      <c r="S58" s="815"/>
      <c r="T58" s="815"/>
      <c r="U58" s="815">
        <f t="shared" si="25"/>
        <v>0</v>
      </c>
      <c r="V58" s="815">
        <f t="shared" si="20"/>
        <v>0</v>
      </c>
      <c r="W58" s="815">
        <f t="shared" si="21"/>
        <v>0</v>
      </c>
      <c r="X58" s="815">
        <f t="shared" si="22"/>
        <v>0</v>
      </c>
      <c r="Y58" s="815">
        <f t="shared" si="6"/>
        <v>0</v>
      </c>
    </row>
    <row r="59" spans="1:26" s="59" customFormat="1" ht="21.75" customHeight="1">
      <c r="A59" s="1156" t="str">
        <f t="shared" si="1"/>
        <v>F-12.01_470</v>
      </c>
      <c r="B59" s="363">
        <v>470</v>
      </c>
      <c r="C59" s="1552" t="s">
        <v>102</v>
      </c>
      <c r="D59" s="216" t="s">
        <v>1710</v>
      </c>
      <c r="E59" s="950"/>
      <c r="F59" s="950"/>
      <c r="G59" s="911"/>
      <c r="H59" s="946"/>
      <c r="I59" s="946"/>
      <c r="J59" s="946"/>
      <c r="K59" s="911"/>
      <c r="L59" s="946"/>
      <c r="M59" s="686">
        <f t="shared" si="24"/>
        <v>0</v>
      </c>
      <c r="N59" s="911"/>
      <c r="O59" s="950"/>
      <c r="P59" s="815">
        <f t="shared" si="29"/>
        <v>0</v>
      </c>
      <c r="Q59" s="815">
        <f t="shared" si="30"/>
        <v>0</v>
      </c>
      <c r="R59" s="815">
        <f t="shared" si="31"/>
        <v>0</v>
      </c>
      <c r="S59" s="815"/>
      <c r="T59" s="815"/>
      <c r="U59" s="815">
        <f t="shared" si="25"/>
        <v>0</v>
      </c>
      <c r="V59" s="815">
        <f t="shared" si="20"/>
        <v>0</v>
      </c>
      <c r="W59" s="815">
        <f t="shared" si="21"/>
        <v>0</v>
      </c>
      <c r="X59" s="815">
        <f t="shared" si="22"/>
        <v>0</v>
      </c>
      <c r="Y59" s="815">
        <f t="shared" si="6"/>
        <v>0</v>
      </c>
    </row>
    <row r="60" spans="1:26" s="59" customFormat="1" ht="21.75" customHeight="1">
      <c r="A60" s="1156" t="str">
        <f t="shared" si="1"/>
        <v>F-12.01_480</v>
      </c>
      <c r="B60" s="363">
        <v>480</v>
      </c>
      <c r="C60" s="1553" t="s">
        <v>127</v>
      </c>
      <c r="D60" s="14" t="s">
        <v>1711</v>
      </c>
      <c r="E60" s="950"/>
      <c r="F60" s="950"/>
      <c r="G60" s="911"/>
      <c r="H60" s="946"/>
      <c r="I60" s="946"/>
      <c r="J60" s="946"/>
      <c r="K60" s="911"/>
      <c r="L60" s="946"/>
      <c r="M60" s="686">
        <f t="shared" si="24"/>
        <v>0</v>
      </c>
      <c r="N60" s="911"/>
      <c r="O60" s="950"/>
      <c r="P60" s="815">
        <f t="shared" si="29"/>
        <v>0</v>
      </c>
      <c r="Q60" s="815">
        <f t="shared" si="30"/>
        <v>0</v>
      </c>
      <c r="R60" s="815">
        <f t="shared" si="31"/>
        <v>0</v>
      </c>
      <c r="S60" s="815"/>
      <c r="T60" s="815"/>
      <c r="U60" s="815">
        <f t="shared" si="25"/>
        <v>0</v>
      </c>
      <c r="V60" s="815">
        <f t="shared" si="20"/>
        <v>0</v>
      </c>
      <c r="W60" s="815">
        <f t="shared" si="21"/>
        <v>0</v>
      </c>
      <c r="X60" s="815">
        <f t="shared" si="22"/>
        <v>0</v>
      </c>
      <c r="Y60" s="815">
        <f t="shared" si="6"/>
        <v>0</v>
      </c>
    </row>
    <row r="61" spans="1:26" s="59" customFormat="1" ht="21.75" customHeight="1">
      <c r="A61" s="1156" t="str">
        <f t="shared" si="1"/>
        <v>F-12.01_490</v>
      </c>
      <c r="B61" s="363">
        <v>490</v>
      </c>
      <c r="C61" s="1553" t="s">
        <v>128</v>
      </c>
      <c r="D61" s="14" t="s">
        <v>1717</v>
      </c>
      <c r="E61" s="950"/>
      <c r="F61" s="950"/>
      <c r="G61" s="911"/>
      <c r="H61" s="946"/>
      <c r="I61" s="946"/>
      <c r="J61" s="946"/>
      <c r="K61" s="911"/>
      <c r="L61" s="946"/>
      <c r="M61" s="686">
        <f t="shared" si="24"/>
        <v>0</v>
      </c>
      <c r="N61" s="911"/>
      <c r="O61" s="950"/>
      <c r="P61" s="815">
        <f t="shared" si="29"/>
        <v>0</v>
      </c>
      <c r="Q61" s="815">
        <f t="shared" si="30"/>
        <v>0</v>
      </c>
      <c r="R61" s="815">
        <f t="shared" si="31"/>
        <v>0</v>
      </c>
      <c r="S61" s="815"/>
      <c r="T61" s="815"/>
      <c r="U61" s="815">
        <f t="shared" si="25"/>
        <v>0</v>
      </c>
      <c r="V61" s="815">
        <f t="shared" si="20"/>
        <v>0</v>
      </c>
      <c r="W61" s="815">
        <f t="shared" si="21"/>
        <v>0</v>
      </c>
      <c r="X61" s="815">
        <f t="shared" si="22"/>
        <v>0</v>
      </c>
      <c r="Y61" s="815">
        <f t="shared" si="6"/>
        <v>0</v>
      </c>
    </row>
    <row r="62" spans="1:26" s="59" customFormat="1" ht="31.5">
      <c r="A62" s="1156" t="str">
        <f t="shared" si="1"/>
        <v>F-12.01_500</v>
      </c>
      <c r="B62" s="363">
        <v>500</v>
      </c>
      <c r="C62" s="1635" t="s">
        <v>2148</v>
      </c>
      <c r="D62" s="14" t="s">
        <v>2149</v>
      </c>
      <c r="E62" s="950"/>
      <c r="F62" s="950"/>
      <c r="G62" s="911"/>
      <c r="H62" s="946"/>
      <c r="I62" s="946"/>
      <c r="J62" s="946"/>
      <c r="K62" s="911"/>
      <c r="L62" s="946"/>
      <c r="M62" s="686">
        <f t="shared" si="24"/>
        <v>0</v>
      </c>
      <c r="N62" s="911"/>
      <c r="O62" s="950"/>
      <c r="P62" s="815">
        <f t="shared" si="29"/>
        <v>0</v>
      </c>
      <c r="Q62" s="815">
        <f t="shared" si="30"/>
        <v>0</v>
      </c>
      <c r="R62" s="815">
        <f t="shared" si="31"/>
        <v>0</v>
      </c>
      <c r="S62" s="815"/>
      <c r="T62" s="815"/>
      <c r="U62" s="815">
        <f t="shared" si="25"/>
        <v>0</v>
      </c>
      <c r="V62" s="815">
        <f t="shared" si="20"/>
        <v>0</v>
      </c>
      <c r="W62" s="815">
        <f t="shared" si="21"/>
        <v>0</v>
      </c>
      <c r="X62" s="815">
        <f t="shared" si="22"/>
        <v>0</v>
      </c>
      <c r="Y62" s="815">
        <f t="shared" si="6"/>
        <v>0</v>
      </c>
    </row>
    <row r="63" spans="1:26" s="59" customFormat="1" ht="31.5">
      <c r="A63" s="1156" t="str">
        <f t="shared" si="1"/>
        <v>F-12.01_510</v>
      </c>
      <c r="B63" s="363">
        <v>510</v>
      </c>
      <c r="C63" s="1635" t="s">
        <v>2150</v>
      </c>
      <c r="D63" s="1616" t="s">
        <v>2149</v>
      </c>
      <c r="E63" s="950"/>
      <c r="F63" s="950"/>
      <c r="G63" s="911"/>
      <c r="H63" s="946"/>
      <c r="I63" s="946"/>
      <c r="J63" s="946"/>
      <c r="K63" s="911"/>
      <c r="L63" s="946"/>
      <c r="M63" s="686">
        <f t="shared" si="24"/>
        <v>0</v>
      </c>
      <c r="N63" s="911"/>
      <c r="O63" s="950"/>
      <c r="P63" s="815">
        <f t="shared" si="29"/>
        <v>0</v>
      </c>
      <c r="Q63" s="815">
        <f t="shared" si="30"/>
        <v>0</v>
      </c>
      <c r="R63" s="815">
        <f t="shared" si="31"/>
        <v>0</v>
      </c>
      <c r="S63" s="815"/>
      <c r="T63" s="815"/>
      <c r="U63" s="815">
        <f t="shared" si="25"/>
        <v>0</v>
      </c>
      <c r="V63" s="815">
        <f t="shared" si="20"/>
        <v>0</v>
      </c>
      <c r="W63" s="815">
        <f t="shared" si="21"/>
        <v>0</v>
      </c>
      <c r="X63" s="815">
        <f t="shared" si="22"/>
        <v>0</v>
      </c>
      <c r="Y63" s="815">
        <f t="shared" si="6"/>
        <v>0</v>
      </c>
    </row>
    <row r="64" spans="1:26" s="59" customFormat="1" ht="21.75" customHeight="1">
      <c r="A64" s="1156" t="str">
        <f t="shared" si="1"/>
        <v>F-12.01_520</v>
      </c>
      <c r="B64" s="376">
        <v>520</v>
      </c>
      <c r="C64" s="1554" t="s">
        <v>2156</v>
      </c>
      <c r="D64" s="1555" t="s">
        <v>2157</v>
      </c>
      <c r="E64" s="688">
        <f>SUM($E$15+$E$31+$E$48)</f>
        <v>0</v>
      </c>
      <c r="F64" s="688">
        <f>SUM($F$15+$F$31+$F$48)</f>
        <v>0</v>
      </c>
      <c r="G64" s="688">
        <f>SUM(G$15+G$31+G$48)</f>
        <v>0</v>
      </c>
      <c r="H64" s="688">
        <f t="shared" ref="H64:O64" si="32">SUM(H$15+H$31+H$48)</f>
        <v>0</v>
      </c>
      <c r="I64" s="688">
        <f t="shared" si="32"/>
        <v>0</v>
      </c>
      <c r="J64" s="688">
        <f t="shared" si="32"/>
        <v>0</v>
      </c>
      <c r="K64" s="688">
        <f t="shared" si="32"/>
        <v>0</v>
      </c>
      <c r="L64" s="688">
        <f t="shared" si="32"/>
        <v>0</v>
      </c>
      <c r="M64" s="686">
        <f t="shared" si="24"/>
        <v>0</v>
      </c>
      <c r="N64" s="688">
        <f t="shared" si="32"/>
        <v>0</v>
      </c>
      <c r="O64" s="688">
        <f t="shared" si="32"/>
        <v>0</v>
      </c>
      <c r="P64" s="815">
        <f>IF($E64&lt;=0,0,"F12,c10&lt;=0")</f>
        <v>0</v>
      </c>
      <c r="Q64" s="815">
        <f>IF($F64&lt;=0,0,"F12,c20&lt;=0")</f>
        <v>0</v>
      </c>
      <c r="R64" s="815">
        <f>IF($G64&gt;=0,0,"F12,C30&gt;=0")</f>
        <v>0</v>
      </c>
      <c r="S64" s="815"/>
      <c r="T64" s="815"/>
      <c r="U64" s="815">
        <f t="shared" si="25"/>
        <v>0</v>
      </c>
      <c r="V64" s="815">
        <f t="shared" si="20"/>
        <v>0</v>
      </c>
      <c r="W64" s="815">
        <f t="shared" si="21"/>
        <v>0</v>
      </c>
      <c r="X64" s="815">
        <f t="shared" si="22"/>
        <v>0</v>
      </c>
      <c r="Y64" s="815">
        <f t="shared" si="6"/>
        <v>0</v>
      </c>
    </row>
    <row r="65" spans="1:28" s="59" customFormat="1" ht="31.5">
      <c r="A65" s="1156" t="str">
        <f t="shared" si="1"/>
        <v>F-12.01_530</v>
      </c>
      <c r="B65" s="363">
        <v>530</v>
      </c>
      <c r="C65" s="116" t="s">
        <v>2158</v>
      </c>
      <c r="D65" s="14" t="s">
        <v>2159</v>
      </c>
      <c r="E65" s="1960"/>
      <c r="F65" s="1960"/>
      <c r="G65" s="1961"/>
      <c r="H65" s="1962"/>
      <c r="I65" s="1962"/>
      <c r="J65" s="1962"/>
      <c r="K65" s="1961"/>
      <c r="L65" s="1962"/>
      <c r="M65" s="1960"/>
      <c r="N65" s="1960"/>
      <c r="O65" s="1961"/>
      <c r="P65" s="815">
        <f>IF($E65&gt;=0,0,"F12,c10&gt;=0")</f>
        <v>0</v>
      </c>
      <c r="Q65" s="815">
        <f>IF($F65&gt;=0,0,"F12,c20&gt;=0")</f>
        <v>0</v>
      </c>
      <c r="R65" s="815">
        <f>IF($G65&lt;=0,0,"F12,C30&lt;=0")</f>
        <v>0</v>
      </c>
      <c r="S65" s="815"/>
      <c r="T65" s="815"/>
      <c r="U65" s="815">
        <f>IF($K65&lt;=0,0,"F12,C80&lt;=0")</f>
        <v>0</v>
      </c>
      <c r="V65" s="815">
        <f>IF($M65&gt;=0,0,"F12,C100&gt;=0")</f>
        <v>0</v>
      </c>
      <c r="W65" s="815">
        <f t="shared" si="21"/>
        <v>0</v>
      </c>
      <c r="X65" s="815">
        <f t="shared" si="22"/>
        <v>0</v>
      </c>
      <c r="Y65" s="815"/>
      <c r="Z65" s="815">
        <f>IF(M65=SUM('9'!H$15,'9'!H$23,'9'!H$31),0,"{F 12.01.b, r530, c100} = sum({F 09.01.1, (r010, r090, r170), c040})")</f>
        <v>0</v>
      </c>
    </row>
    <row r="66" spans="1:28" s="59" customFormat="1" ht="31.5">
      <c r="A66" s="1156" t="str">
        <f t="shared" si="1"/>
        <v>F-12.01_540</v>
      </c>
      <c r="B66" s="363">
        <v>540</v>
      </c>
      <c r="C66" s="116" t="s">
        <v>2160</v>
      </c>
      <c r="D66" s="14" t="s">
        <v>2161</v>
      </c>
      <c r="E66" s="1960"/>
      <c r="F66" s="1960"/>
      <c r="G66" s="1961"/>
      <c r="H66" s="1962"/>
      <c r="I66" s="1962"/>
      <c r="J66" s="1962"/>
      <c r="K66" s="1961"/>
      <c r="L66" s="1962"/>
      <c r="M66" s="1960"/>
      <c r="N66" s="1960"/>
      <c r="O66" s="1961"/>
      <c r="P66" s="815">
        <f t="shared" ref="P66:P69" si="33">IF($E66&gt;=0,0,"F12,c10&gt;=0")</f>
        <v>0</v>
      </c>
      <c r="Q66" s="815">
        <f>IF($F66&gt;=0,0,"F12,c20&gt;=0")</f>
        <v>0</v>
      </c>
      <c r="R66" s="815">
        <f>IF($G66&lt;=0,0,"F12,C30&lt;=0")</f>
        <v>0</v>
      </c>
      <c r="S66" s="815"/>
      <c r="T66" s="815"/>
      <c r="U66" s="815">
        <f t="shared" ref="U66:U69" si="34">IF($K66&lt;=0,0,"F12,C80&lt;=0")</f>
        <v>0</v>
      </c>
      <c r="V66" s="815">
        <f t="shared" ref="V66:V69" si="35">IF($M66&gt;=0,0,"F12,C100&gt;=0")</f>
        <v>0</v>
      </c>
      <c r="W66" s="815">
        <f t="shared" si="21"/>
        <v>0</v>
      </c>
      <c r="X66" s="815">
        <f t="shared" si="22"/>
        <v>0</v>
      </c>
      <c r="Y66" s="815"/>
      <c r="Z66" s="815">
        <f>IF(M66=SUM('9'!I$15,'9'!I$23,'9'!I$31),0,"{F 12.01.b, r540, c100} = sum({F 09.01.1, (r010, r090, r170), c050})")</f>
        <v>0</v>
      </c>
    </row>
    <row r="67" spans="1:28" s="59" customFormat="1" ht="21.75" customHeight="1">
      <c r="A67" s="1156" t="str">
        <f t="shared" si="1"/>
        <v>F-12.01_550</v>
      </c>
      <c r="B67" s="401">
        <v>550</v>
      </c>
      <c r="C67" s="1638" t="s">
        <v>696</v>
      </c>
      <c r="D67" s="119" t="s">
        <v>1643</v>
      </c>
      <c r="E67" s="1960"/>
      <c r="F67" s="1963"/>
      <c r="G67" s="1963"/>
      <c r="H67" s="1963"/>
      <c r="I67" s="1962"/>
      <c r="J67" s="1963"/>
      <c r="K67" s="1961"/>
      <c r="L67" s="1963"/>
      <c r="M67" s="1960"/>
      <c r="N67" s="1963"/>
      <c r="O67" s="1961"/>
      <c r="P67" s="815">
        <f t="shared" si="33"/>
        <v>0</v>
      </c>
      <c r="Q67" s="815"/>
      <c r="R67" s="815"/>
      <c r="S67" s="815"/>
      <c r="T67" s="815"/>
      <c r="U67" s="815">
        <f t="shared" si="34"/>
        <v>0</v>
      </c>
      <c r="V67" s="815">
        <f t="shared" si="35"/>
        <v>0</v>
      </c>
      <c r="W67" s="815">
        <f t="shared" si="21"/>
        <v>0</v>
      </c>
      <c r="X67" s="815">
        <f t="shared" si="22"/>
        <v>0</v>
      </c>
      <c r="Y67" s="815"/>
    </row>
    <row r="68" spans="1:28" s="59" customFormat="1" ht="31.5">
      <c r="A68" s="1156" t="str">
        <f t="shared" si="1"/>
        <v>F-12.01_560</v>
      </c>
      <c r="B68" s="363">
        <v>560</v>
      </c>
      <c r="C68" s="1294" t="s">
        <v>2162</v>
      </c>
      <c r="D68" s="1616" t="s">
        <v>2163</v>
      </c>
      <c r="E68" s="1960"/>
      <c r="F68" s="1960"/>
      <c r="G68" s="1961"/>
      <c r="H68" s="1962"/>
      <c r="I68" s="1962"/>
      <c r="J68" s="1962"/>
      <c r="K68" s="1961"/>
      <c r="L68" s="1962"/>
      <c r="M68" s="1960"/>
      <c r="N68" s="1960"/>
      <c r="O68" s="1961"/>
      <c r="P68" s="815">
        <f t="shared" si="33"/>
        <v>0</v>
      </c>
      <c r="Q68" s="815">
        <f>IF($F68&gt;=0,0,"F12,c20&gt;=0")</f>
        <v>0</v>
      </c>
      <c r="R68" s="815">
        <f>IF($G68&lt;=0,0,"F12,C30&lt;=0")</f>
        <v>0</v>
      </c>
      <c r="S68" s="815"/>
      <c r="T68" s="815"/>
      <c r="U68" s="815">
        <f t="shared" si="34"/>
        <v>0</v>
      </c>
      <c r="V68" s="815">
        <f t="shared" si="35"/>
        <v>0</v>
      </c>
      <c r="W68" s="815">
        <f t="shared" si="21"/>
        <v>0</v>
      </c>
      <c r="X68" s="815">
        <f t="shared" si="22"/>
        <v>0</v>
      </c>
      <c r="Y68" s="815"/>
      <c r="Z68" s="815">
        <f>IF(M68=SUM('9'!J$15,'9'!J$23,'9'!J$31),0,"{F 12.01.b, r560, c100} = sum({F 09.01.1, (r010, r090, r170), c060})")</f>
        <v>0</v>
      </c>
    </row>
    <row r="69" spans="1:28" s="59" customFormat="1" ht="21.75" customHeight="1">
      <c r="A69" s="1156" t="str">
        <f t="shared" si="1"/>
        <v>F-12.01_570</v>
      </c>
      <c r="B69" s="376">
        <v>570</v>
      </c>
      <c r="C69" s="1554" t="s">
        <v>2164</v>
      </c>
      <c r="D69" s="1555" t="s">
        <v>2165</v>
      </c>
      <c r="E69" s="688">
        <f t="shared" ref="E69:O69" si="36">SUM(E$65+E$66+E$68)</f>
        <v>0</v>
      </c>
      <c r="F69" s="688">
        <f t="shared" si="36"/>
        <v>0</v>
      </c>
      <c r="G69" s="688">
        <f t="shared" si="36"/>
        <v>0</v>
      </c>
      <c r="H69" s="688">
        <f t="shared" si="36"/>
        <v>0</v>
      </c>
      <c r="I69" s="688">
        <f t="shared" si="36"/>
        <v>0</v>
      </c>
      <c r="J69" s="688">
        <f t="shared" si="36"/>
        <v>0</v>
      </c>
      <c r="K69" s="688">
        <f t="shared" si="36"/>
        <v>0</v>
      </c>
      <c r="L69" s="688">
        <f t="shared" si="36"/>
        <v>0</v>
      </c>
      <c r="M69" s="688">
        <f t="shared" si="36"/>
        <v>0</v>
      </c>
      <c r="N69" s="688">
        <f t="shared" si="36"/>
        <v>0</v>
      </c>
      <c r="O69" s="688">
        <f t="shared" si="36"/>
        <v>0</v>
      </c>
      <c r="P69" s="815">
        <f t="shared" si="33"/>
        <v>0</v>
      </c>
      <c r="Q69" s="815">
        <f>IF($F69&gt;=0,0,"F12,c20&gt;=0")</f>
        <v>0</v>
      </c>
      <c r="R69" s="815">
        <f>IF($G69&lt;=0,0,"F12,C30&lt;=0")</f>
        <v>0</v>
      </c>
      <c r="S69" s="815"/>
      <c r="T69" s="815"/>
      <c r="U69" s="815">
        <f t="shared" si="34"/>
        <v>0</v>
      </c>
      <c r="V69" s="815">
        <f t="shared" si="35"/>
        <v>0</v>
      </c>
      <c r="W69" s="815">
        <f t="shared" si="21"/>
        <v>0</v>
      </c>
      <c r="X69" s="815">
        <f t="shared" si="22"/>
        <v>0</v>
      </c>
      <c r="Y69" s="815"/>
    </row>
    <row r="70" spans="1:28" ht="48.75" customHeight="1">
      <c r="A70" s="1100" t="s">
        <v>718</v>
      </c>
      <c r="C70" s="94"/>
      <c r="E70" s="1813">
        <f>IF(E$15=SUM(E$29:E$30),0,"{r010} = sum(r160-170)")</f>
        <v>0</v>
      </c>
      <c r="F70" s="1813">
        <f t="shared" ref="F70:O70" si="37">IF(F$15=SUM(F$29:F$30),0,"{r010} = sum(r160-170)")</f>
        <v>0</v>
      </c>
      <c r="G70" s="1813">
        <f t="shared" si="37"/>
        <v>0</v>
      </c>
      <c r="H70" s="1813">
        <f t="shared" si="37"/>
        <v>0</v>
      </c>
      <c r="I70" s="1813">
        <f t="shared" si="37"/>
        <v>0</v>
      </c>
      <c r="J70" s="1813">
        <f t="shared" si="37"/>
        <v>0</v>
      </c>
      <c r="K70" s="1813">
        <f t="shared" si="37"/>
        <v>0</v>
      </c>
      <c r="L70" s="1813">
        <f t="shared" si="37"/>
        <v>0</v>
      </c>
      <c r="M70" s="1813">
        <f t="shared" si="37"/>
        <v>0</v>
      </c>
      <c r="N70" s="1813">
        <f t="shared" si="37"/>
        <v>0</v>
      </c>
      <c r="O70" s="1813">
        <f t="shared" si="37"/>
        <v>0</v>
      </c>
      <c r="P70" s="671"/>
      <c r="Q70" s="671"/>
      <c r="R70" s="671"/>
      <c r="S70" s="671"/>
      <c r="T70" s="671"/>
      <c r="U70" s="671"/>
      <c r="V70" s="671"/>
      <c r="W70" s="671"/>
      <c r="X70" s="671"/>
      <c r="Y70" s="671"/>
    </row>
    <row r="71" spans="1:28" ht="48.75" customHeight="1">
      <c r="A71" s="1100" t="s">
        <v>718</v>
      </c>
      <c r="C71" s="94"/>
      <c r="E71" s="1813">
        <f>IF(E$31=SUM(E$45:E$46),0,"{r180} = sum(r330-340)")</f>
        <v>0</v>
      </c>
      <c r="F71" s="1813">
        <f t="shared" ref="F71:O71" si="38">IF(F$31=SUM(F$45:F$46),0,"{r180} = sum(r330-340)")</f>
        <v>0</v>
      </c>
      <c r="G71" s="1813">
        <f>IF(G$31=SUM(G$45:G$46),0,"{r180} = sum(r330-340)")</f>
        <v>0</v>
      </c>
      <c r="H71" s="1813">
        <f t="shared" si="38"/>
        <v>0</v>
      </c>
      <c r="I71" s="1813">
        <f t="shared" si="38"/>
        <v>0</v>
      </c>
      <c r="J71" s="1813">
        <f t="shared" si="38"/>
        <v>0</v>
      </c>
      <c r="K71" s="1813">
        <f t="shared" si="38"/>
        <v>0</v>
      </c>
      <c r="L71" s="1813">
        <f t="shared" si="38"/>
        <v>0</v>
      </c>
      <c r="M71" s="1813">
        <f t="shared" si="38"/>
        <v>0</v>
      </c>
      <c r="N71" s="1813">
        <f t="shared" si="38"/>
        <v>0</v>
      </c>
      <c r="O71" s="1813">
        <f t="shared" si="38"/>
        <v>0</v>
      </c>
      <c r="P71" s="671"/>
      <c r="Q71" s="671"/>
      <c r="R71" s="671"/>
      <c r="S71" s="671"/>
      <c r="T71" s="671"/>
      <c r="U71" s="671"/>
      <c r="V71" s="671"/>
      <c r="W71" s="671"/>
      <c r="X71" s="671"/>
      <c r="Y71" s="671"/>
    </row>
    <row r="72" spans="1:28" ht="48.75" customHeight="1">
      <c r="A72" s="1156" t="s">
        <v>724</v>
      </c>
      <c r="C72" s="94"/>
      <c r="E72" s="1813">
        <f>IF(E$48=SUM(E$62:E$63),0,"{r360} = sum(r500-510)")</f>
        <v>0</v>
      </c>
      <c r="F72" s="1813">
        <f t="shared" ref="F72:O72" si="39">IF(F$48=SUM(F$62:F$63),0,"{r360} = sum(r500-510)")</f>
        <v>0</v>
      </c>
      <c r="G72" s="1813">
        <f t="shared" si="39"/>
        <v>0</v>
      </c>
      <c r="H72" s="1813">
        <f t="shared" si="39"/>
        <v>0</v>
      </c>
      <c r="I72" s="1813">
        <f t="shared" si="39"/>
        <v>0</v>
      </c>
      <c r="J72" s="1813">
        <f t="shared" si="39"/>
        <v>0</v>
      </c>
      <c r="K72" s="1813">
        <f t="shared" si="39"/>
        <v>0</v>
      </c>
      <c r="L72" s="1813">
        <f t="shared" si="39"/>
        <v>0</v>
      </c>
      <c r="M72" s="1813">
        <f t="shared" si="39"/>
        <v>0</v>
      </c>
      <c r="N72" s="1813">
        <f t="shared" si="39"/>
        <v>0</v>
      </c>
      <c r="O72" s="1813">
        <f t="shared" si="39"/>
        <v>0</v>
      </c>
      <c r="P72" s="671"/>
      <c r="Q72" s="671"/>
      <c r="R72" s="671"/>
      <c r="S72" s="671"/>
      <c r="T72" s="671"/>
      <c r="U72" s="671"/>
      <c r="V72" s="671"/>
      <c r="W72" s="671"/>
      <c r="X72" s="671"/>
      <c r="Y72" s="671"/>
    </row>
    <row r="73" spans="1:28" s="1097" customFormat="1" ht="18" hidden="1" customHeight="1">
      <c r="A73" s="1096" t="s">
        <v>2241</v>
      </c>
      <c r="B73" s="1118">
        <v>2</v>
      </c>
      <c r="C73" s="1118">
        <v>1</v>
      </c>
      <c r="D73" s="1119">
        <v>13</v>
      </c>
      <c r="E73" s="1182">
        <v>5</v>
      </c>
      <c r="F73" s="1120">
        <v>3</v>
      </c>
      <c r="G73" s="1121">
        <v>4</v>
      </c>
      <c r="H73" s="1122">
        <v>4</v>
      </c>
      <c r="I73" s="1122">
        <v>4</v>
      </c>
      <c r="J73" s="1123">
        <v>4</v>
      </c>
      <c r="K73" s="1123">
        <v>5</v>
      </c>
      <c r="L73" s="1124">
        <v>4</v>
      </c>
      <c r="M73" s="1124">
        <v>6</v>
      </c>
      <c r="N73" s="1125">
        <v>4</v>
      </c>
      <c r="O73" s="1125">
        <v>7</v>
      </c>
    </row>
    <row r="74" spans="1:28" s="1097" customFormat="1" ht="18" hidden="1" customHeight="1">
      <c r="A74" s="1096" t="str">
        <f>Index!$A$2</f>
        <v>V20181222</v>
      </c>
      <c r="B74" s="1098"/>
      <c r="C74" s="1099"/>
      <c r="D74" s="1100"/>
      <c r="E74" s="1100" t="str">
        <f>$A$73&amp;"_"&amp;E84</f>
        <v>F-12.02_010</v>
      </c>
      <c r="F74" s="1100" t="str">
        <f t="shared" ref="F74:J74" si="40">$A$73&amp;"_"&amp;F84</f>
        <v>F-12.02_020</v>
      </c>
      <c r="G74" s="1100" t="str">
        <f t="shared" si="40"/>
        <v>F-12.02_030</v>
      </c>
      <c r="H74" s="1100" t="str">
        <f t="shared" si="40"/>
        <v>F-12.02_040</v>
      </c>
      <c r="I74" s="1100" t="str">
        <f t="shared" si="40"/>
        <v>F-12.02_050</v>
      </c>
      <c r="J74" s="1100" t="str">
        <f t="shared" si="40"/>
        <v>F-12.02_060</v>
      </c>
      <c r="K74" s="1100"/>
      <c r="L74" s="1100"/>
      <c r="M74" s="1100"/>
      <c r="N74" s="1100"/>
      <c r="O74" s="1100"/>
      <c r="P74" s="1100"/>
      <c r="Q74" s="1100"/>
      <c r="R74" s="1100"/>
    </row>
    <row r="75" spans="1:28" s="1097" customFormat="1" ht="18" hidden="1" customHeight="1">
      <c r="A75" s="1096" t="str">
        <f>"R:A1:AD"&amp;ROW(A172)+1</f>
        <v>R:A1:AD173</v>
      </c>
      <c r="B75" s="1102"/>
      <c r="C75" s="1103"/>
      <c r="D75" s="1104"/>
      <c r="E75" s="1105"/>
      <c r="F75" s="1106"/>
      <c r="G75" s="1107"/>
      <c r="H75" s="1107"/>
      <c r="I75" s="1107"/>
      <c r="J75" s="1107"/>
      <c r="K75" s="1107"/>
    </row>
    <row r="76" spans="1:28" s="1097" customFormat="1" ht="18" hidden="1" customHeight="1">
      <c r="A76" s="1096"/>
      <c r="B76" s="1102"/>
      <c r="C76" s="1103"/>
      <c r="D76" s="1108"/>
      <c r="E76" s="1109"/>
      <c r="F76" s="1110"/>
      <c r="G76" s="1111">
        <f>P77</f>
        <v>0</v>
      </c>
      <c r="H76" s="1107"/>
      <c r="I76" s="1107"/>
      <c r="J76" s="1107"/>
    </row>
    <row r="77" spans="1:28" s="1097" customFormat="1" ht="18" hidden="1" customHeight="1">
      <c r="A77" s="1096"/>
      <c r="B77" s="1102"/>
      <c r="C77" s="1103"/>
      <c r="D77" s="1112"/>
      <c r="E77" s="1113"/>
      <c r="F77" s="1114"/>
      <c r="P77" s="1097">
        <f>COUNTIF(P86:Z141,"&lt;&gt;0")-COUNTBLANK(P86:Z141)+COUNTIF(E142:O144,"&lt;&gt;0")-COUNTBLANK(E142:O144)</f>
        <v>0</v>
      </c>
    </row>
    <row r="78" spans="1:28">
      <c r="A78" s="1699" t="s">
        <v>718</v>
      </c>
      <c r="B78" s="1550" t="s">
        <v>1859</v>
      </c>
      <c r="C78" s="1556"/>
      <c r="D78" s="1556"/>
      <c r="E78" s="1556"/>
      <c r="F78" s="1556"/>
      <c r="G78" s="1556"/>
      <c r="H78" s="1556"/>
      <c r="I78" s="1556"/>
      <c r="J78" s="1556"/>
      <c r="K78" s="24"/>
      <c r="L78" s="24"/>
      <c r="M78" s="24"/>
      <c r="N78" s="24"/>
      <c r="O78" s="24"/>
      <c r="P78" s="24"/>
      <c r="Q78" s="24"/>
      <c r="R78" s="24"/>
      <c r="S78" s="671"/>
      <c r="T78" s="671"/>
      <c r="U78" s="671"/>
      <c r="V78" s="671"/>
      <c r="W78" s="671"/>
      <c r="X78" s="671"/>
      <c r="Y78" s="671"/>
      <c r="Z78" s="671"/>
      <c r="AA78" s="671"/>
      <c r="AB78" s="671"/>
    </row>
    <row r="79" spans="1:28">
      <c r="A79" s="1699" t="s">
        <v>718</v>
      </c>
      <c r="B79" s="1557"/>
      <c r="C79" s="1556"/>
      <c r="D79" s="1556"/>
      <c r="E79" s="1556"/>
      <c r="F79" s="1556"/>
      <c r="G79" s="1556"/>
      <c r="H79" s="1556"/>
      <c r="I79" s="1556"/>
      <c r="J79" s="1556"/>
      <c r="K79" s="24"/>
      <c r="L79" s="24"/>
      <c r="M79" s="24"/>
      <c r="N79" s="24"/>
      <c r="O79" s="24"/>
      <c r="P79" s="24"/>
      <c r="Q79" s="24"/>
      <c r="R79" s="24"/>
    </row>
    <row r="80" spans="1:28" ht="21" customHeight="1">
      <c r="A80" s="1699" t="s">
        <v>718</v>
      </c>
      <c r="B80" s="2054"/>
      <c r="C80" s="2055"/>
      <c r="D80" s="1992" t="s">
        <v>551</v>
      </c>
      <c r="E80" s="2022" t="s">
        <v>2247</v>
      </c>
      <c r="F80" s="2076"/>
      <c r="G80" s="2076"/>
      <c r="H80" s="2076"/>
      <c r="I80" s="2076"/>
      <c r="J80" s="2077"/>
      <c r="K80" s="24"/>
      <c r="L80" s="24"/>
      <c r="M80" s="24"/>
      <c r="N80" s="24"/>
      <c r="O80" s="24"/>
      <c r="P80" s="24"/>
      <c r="Q80" s="24"/>
      <c r="R80" s="24"/>
      <c r="Y80" s="667"/>
      <c r="Z80" s="667"/>
      <c r="AA80" s="667"/>
    </row>
    <row r="81" spans="1:18" ht="69.75" customHeight="1">
      <c r="A81" s="1699" t="s">
        <v>718</v>
      </c>
      <c r="B81" s="2056"/>
      <c r="C81" s="2057"/>
      <c r="D81" s="1993"/>
      <c r="E81" s="2025" t="s">
        <v>1860</v>
      </c>
      <c r="F81" s="2078"/>
      <c r="G81" s="2025" t="s">
        <v>1861</v>
      </c>
      <c r="H81" s="2078"/>
      <c r="I81" s="2025" t="s">
        <v>1862</v>
      </c>
      <c r="J81" s="2078"/>
      <c r="K81" s="24"/>
      <c r="L81" s="24"/>
      <c r="M81" s="24"/>
      <c r="N81" s="24"/>
      <c r="O81" s="24"/>
      <c r="P81" s="24"/>
      <c r="Q81" s="24"/>
      <c r="R81" s="24"/>
    </row>
    <row r="82" spans="1:18" ht="93" customHeight="1">
      <c r="A82" s="1699" t="s">
        <v>718</v>
      </c>
      <c r="B82" s="2056"/>
      <c r="C82" s="2057"/>
      <c r="D82" s="1993"/>
      <c r="E82" s="1481" t="s">
        <v>1863</v>
      </c>
      <c r="F82" s="1481" t="s">
        <v>1864</v>
      </c>
      <c r="G82" s="1481" t="s">
        <v>1865</v>
      </c>
      <c r="H82" s="1481" t="s">
        <v>1866</v>
      </c>
      <c r="I82" s="1481" t="s">
        <v>1867</v>
      </c>
      <c r="J82" s="1481" t="s">
        <v>1868</v>
      </c>
      <c r="K82" s="24"/>
      <c r="L82" s="24"/>
      <c r="M82" s="24"/>
      <c r="N82" s="24"/>
      <c r="O82" s="24"/>
      <c r="P82" s="24"/>
      <c r="Q82" s="24"/>
      <c r="R82" s="24"/>
    </row>
    <row r="83" spans="1:18">
      <c r="A83" s="1699" t="s">
        <v>718</v>
      </c>
      <c r="B83" s="2056"/>
      <c r="C83" s="2057"/>
      <c r="D83" s="1993"/>
      <c r="E83" s="2079" t="s">
        <v>1869</v>
      </c>
      <c r="F83" s="2080"/>
      <c r="G83" s="2080"/>
      <c r="H83" s="2080"/>
      <c r="I83" s="2080"/>
      <c r="J83" s="2081"/>
      <c r="K83" s="24"/>
      <c r="L83" s="24"/>
      <c r="M83" s="24"/>
      <c r="N83" s="24"/>
      <c r="O83" s="24"/>
      <c r="P83" s="24"/>
      <c r="Q83" s="24"/>
      <c r="R83" s="24"/>
    </row>
    <row r="84" spans="1:18">
      <c r="A84" s="1699" t="s">
        <v>718</v>
      </c>
      <c r="B84" s="2058"/>
      <c r="C84" s="2059"/>
      <c r="D84" s="1994"/>
      <c r="E84" s="441" t="s">
        <v>292</v>
      </c>
      <c r="F84" s="441" t="s">
        <v>293</v>
      </c>
      <c r="G84" s="441" t="s">
        <v>294</v>
      </c>
      <c r="H84" s="441" t="s">
        <v>295</v>
      </c>
      <c r="I84" s="441" t="s">
        <v>296</v>
      </c>
      <c r="J84" s="441" t="s">
        <v>297</v>
      </c>
      <c r="K84" s="24"/>
      <c r="L84" s="24"/>
      <c r="M84" s="24"/>
      <c r="N84" s="24"/>
      <c r="O84" s="24"/>
      <c r="P84" s="24"/>
      <c r="Q84" s="24"/>
      <c r="R84" s="24"/>
    </row>
    <row r="85" spans="1:18" ht="21">
      <c r="A85" s="1156" t="str">
        <f>$A$73&amp;"_"&amp;B85</f>
        <v>F-12.02_010</v>
      </c>
      <c r="B85" s="367" t="s">
        <v>292</v>
      </c>
      <c r="C85" s="1551" t="s">
        <v>55</v>
      </c>
      <c r="D85" s="14" t="s">
        <v>1712</v>
      </c>
      <c r="E85" s="1741">
        <f>SUM(E$86:E$90)</f>
        <v>0</v>
      </c>
      <c r="F85" s="1741">
        <f t="shared" ref="F85:J85" si="41">SUM(F$86:F$90)</f>
        <v>0</v>
      </c>
      <c r="G85" s="1741">
        <f t="shared" si="41"/>
        <v>0</v>
      </c>
      <c r="H85" s="1741">
        <f t="shared" si="41"/>
        <v>0</v>
      </c>
      <c r="I85" s="1741">
        <f t="shared" si="41"/>
        <v>0</v>
      </c>
      <c r="J85" s="1741">
        <f t="shared" si="41"/>
        <v>0</v>
      </c>
      <c r="K85" s="24"/>
      <c r="L85" s="24"/>
      <c r="M85" s="24"/>
      <c r="N85" s="24"/>
      <c r="O85" s="24"/>
      <c r="P85" s="24"/>
      <c r="Q85" s="24"/>
      <c r="R85" s="24"/>
    </row>
    <row r="86" spans="1:18" ht="21">
      <c r="A86" s="1156" t="str">
        <f t="shared" ref="A86:A99" si="42">$A$73&amp;"_"&amp;B86</f>
        <v>F-12.02_020</v>
      </c>
      <c r="B86" s="361" t="s">
        <v>293</v>
      </c>
      <c r="C86" s="1552" t="s">
        <v>99</v>
      </c>
      <c r="D86" s="216" t="s">
        <v>1713</v>
      </c>
      <c r="E86" s="911"/>
      <c r="F86" s="911"/>
      <c r="G86" s="911"/>
      <c r="H86" s="911"/>
      <c r="I86" s="911"/>
      <c r="J86" s="911"/>
      <c r="K86" s="24"/>
      <c r="L86" s="24"/>
      <c r="M86" s="24"/>
      <c r="N86" s="24"/>
      <c r="O86" s="24"/>
      <c r="P86" s="24"/>
      <c r="Q86" s="24"/>
      <c r="R86" s="24"/>
    </row>
    <row r="87" spans="1:18" ht="21">
      <c r="A87" s="1156" t="str">
        <f t="shared" si="42"/>
        <v>F-12.02_030</v>
      </c>
      <c r="B87" s="361" t="s">
        <v>294</v>
      </c>
      <c r="C87" s="1552" t="s">
        <v>100</v>
      </c>
      <c r="D87" s="216" t="s">
        <v>1714</v>
      </c>
      <c r="E87" s="911"/>
      <c r="F87" s="911"/>
      <c r="G87" s="911"/>
      <c r="H87" s="911"/>
      <c r="I87" s="911"/>
      <c r="J87" s="911"/>
      <c r="K87" s="24"/>
      <c r="L87" s="24"/>
      <c r="M87" s="24"/>
      <c r="N87" s="24"/>
      <c r="O87" s="24"/>
      <c r="P87" s="24"/>
      <c r="Q87" s="24"/>
      <c r="R87" s="24"/>
    </row>
    <row r="88" spans="1:18" ht="21">
      <c r="A88" s="1156" t="str">
        <f t="shared" si="42"/>
        <v>F-12.02_040</v>
      </c>
      <c r="B88" s="361" t="s">
        <v>295</v>
      </c>
      <c r="C88" s="1552" t="s">
        <v>101</v>
      </c>
      <c r="D88" s="216" t="s">
        <v>1709</v>
      </c>
      <c r="E88" s="911"/>
      <c r="F88" s="911"/>
      <c r="G88" s="911"/>
      <c r="H88" s="911"/>
      <c r="I88" s="911"/>
      <c r="J88" s="911"/>
      <c r="K88" s="24"/>
      <c r="L88" s="24"/>
      <c r="M88" s="24"/>
      <c r="N88" s="24"/>
      <c r="O88" s="24"/>
      <c r="P88" s="24"/>
      <c r="Q88" s="24"/>
      <c r="R88" s="24"/>
    </row>
    <row r="89" spans="1:18" ht="21">
      <c r="A89" s="1156" t="str">
        <f t="shared" si="42"/>
        <v>F-12.02_050</v>
      </c>
      <c r="B89" s="361" t="s">
        <v>296</v>
      </c>
      <c r="C89" s="1552" t="s">
        <v>102</v>
      </c>
      <c r="D89" s="216" t="s">
        <v>1710</v>
      </c>
      <c r="E89" s="911"/>
      <c r="F89" s="911"/>
      <c r="G89" s="911"/>
      <c r="H89" s="911"/>
      <c r="I89" s="911"/>
      <c r="J89" s="911"/>
      <c r="K89" s="24"/>
      <c r="L89" s="24"/>
      <c r="M89" s="24"/>
      <c r="N89" s="24"/>
      <c r="O89" s="24"/>
      <c r="P89" s="24"/>
      <c r="Q89" s="24"/>
      <c r="R89" s="24"/>
    </row>
    <row r="90" spans="1:18" ht="21">
      <c r="A90" s="1156" t="str">
        <f t="shared" si="42"/>
        <v>F-12.02_060</v>
      </c>
      <c r="B90" s="361" t="s">
        <v>297</v>
      </c>
      <c r="C90" s="1553" t="s">
        <v>127</v>
      </c>
      <c r="D90" s="216" t="s">
        <v>1711</v>
      </c>
      <c r="E90" s="911"/>
      <c r="F90" s="911"/>
      <c r="G90" s="911"/>
      <c r="H90" s="911"/>
      <c r="I90" s="911"/>
      <c r="J90" s="911"/>
      <c r="K90" s="24"/>
      <c r="L90" s="24"/>
      <c r="M90" s="24"/>
      <c r="N90" s="24"/>
      <c r="O90" s="24"/>
      <c r="P90" s="24"/>
      <c r="Q90" s="24"/>
      <c r="R90" s="24"/>
    </row>
    <row r="91" spans="1:18" ht="21">
      <c r="A91" s="1156" t="str">
        <f t="shared" si="42"/>
        <v>F-12.02_070</v>
      </c>
      <c r="B91" s="361" t="s">
        <v>298</v>
      </c>
      <c r="C91" s="116" t="s">
        <v>61</v>
      </c>
      <c r="D91" s="216" t="s">
        <v>1715</v>
      </c>
      <c r="E91" s="686">
        <f t="shared" ref="E91:J91" si="43">SUM(E$92:E$97)</f>
        <v>0</v>
      </c>
      <c r="F91" s="686">
        <f t="shared" si="43"/>
        <v>0</v>
      </c>
      <c r="G91" s="686">
        <f t="shared" si="43"/>
        <v>0</v>
      </c>
      <c r="H91" s="686">
        <f t="shared" si="43"/>
        <v>0</v>
      </c>
      <c r="I91" s="686">
        <f t="shared" si="43"/>
        <v>0</v>
      </c>
      <c r="J91" s="686">
        <f t="shared" si="43"/>
        <v>0</v>
      </c>
      <c r="K91" s="24"/>
      <c r="L91" s="24"/>
      <c r="M91" s="24"/>
      <c r="N91" s="24"/>
      <c r="O91" s="24"/>
      <c r="P91" s="24"/>
      <c r="Q91" s="24"/>
      <c r="R91" s="24"/>
    </row>
    <row r="92" spans="1:18" ht="21">
      <c r="A92" s="1156" t="str">
        <f t="shared" si="42"/>
        <v>F-12.02_080</v>
      </c>
      <c r="B92" s="361" t="s">
        <v>299</v>
      </c>
      <c r="C92" s="1552" t="s">
        <v>99</v>
      </c>
      <c r="D92" s="216" t="s">
        <v>1713</v>
      </c>
      <c r="E92" s="911"/>
      <c r="F92" s="911"/>
      <c r="G92" s="911"/>
      <c r="H92" s="911"/>
      <c r="I92" s="911"/>
      <c r="J92" s="911"/>
      <c r="K92" s="24"/>
      <c r="L92" s="24"/>
      <c r="M92" s="24"/>
      <c r="N92" s="24"/>
      <c r="O92" s="24"/>
      <c r="P92" s="24"/>
      <c r="Q92" s="24"/>
      <c r="R92" s="24"/>
    </row>
    <row r="93" spans="1:18" ht="21">
      <c r="A93" s="1156" t="str">
        <f t="shared" si="42"/>
        <v>F-12.02_090</v>
      </c>
      <c r="B93" s="361" t="s">
        <v>300</v>
      </c>
      <c r="C93" s="1552" t="s">
        <v>100</v>
      </c>
      <c r="D93" s="216" t="s">
        <v>1714</v>
      </c>
      <c r="E93" s="911"/>
      <c r="F93" s="911"/>
      <c r="G93" s="911"/>
      <c r="H93" s="911"/>
      <c r="I93" s="911"/>
      <c r="J93" s="911"/>
      <c r="K93" s="24"/>
      <c r="L93" s="24"/>
      <c r="M93" s="24"/>
      <c r="N93" s="24"/>
      <c r="O93" s="24"/>
      <c r="P93" s="24"/>
      <c r="Q93" s="24"/>
      <c r="R93" s="24"/>
    </row>
    <row r="94" spans="1:18" ht="21">
      <c r="A94" s="1156" t="str">
        <f t="shared" si="42"/>
        <v>F-12.02_100</v>
      </c>
      <c r="B94" s="361" t="s">
        <v>301</v>
      </c>
      <c r="C94" s="1552" t="s">
        <v>101</v>
      </c>
      <c r="D94" s="216" t="s">
        <v>1709</v>
      </c>
      <c r="E94" s="911"/>
      <c r="F94" s="911"/>
      <c r="G94" s="911"/>
      <c r="H94" s="911"/>
      <c r="I94" s="911"/>
      <c r="J94" s="911"/>
      <c r="K94" s="24"/>
      <c r="L94" s="24"/>
      <c r="M94" s="24"/>
      <c r="N94" s="24"/>
      <c r="O94" s="24"/>
      <c r="P94" s="24"/>
      <c r="Q94" s="24"/>
      <c r="R94" s="24"/>
    </row>
    <row r="95" spans="1:18" ht="21">
      <c r="A95" s="1156" t="str">
        <f t="shared" si="42"/>
        <v>F-12.02_110</v>
      </c>
      <c r="B95" s="361" t="s">
        <v>302</v>
      </c>
      <c r="C95" s="1552" t="s">
        <v>102</v>
      </c>
      <c r="D95" s="216" t="s">
        <v>1710</v>
      </c>
      <c r="E95" s="911"/>
      <c r="F95" s="911"/>
      <c r="G95" s="911"/>
      <c r="H95" s="911"/>
      <c r="I95" s="911"/>
      <c r="J95" s="911"/>
      <c r="K95" s="24"/>
      <c r="L95" s="24"/>
      <c r="M95" s="24"/>
      <c r="N95" s="24"/>
      <c r="O95" s="24"/>
      <c r="P95" s="24"/>
      <c r="Q95" s="24"/>
      <c r="R95" s="24"/>
    </row>
    <row r="96" spans="1:18" ht="21">
      <c r="A96" s="1156" t="str">
        <f t="shared" si="42"/>
        <v>F-12.02_120</v>
      </c>
      <c r="B96" s="361" t="s">
        <v>303</v>
      </c>
      <c r="C96" s="1553" t="s">
        <v>127</v>
      </c>
      <c r="D96" s="14" t="s">
        <v>1711</v>
      </c>
      <c r="E96" s="911"/>
      <c r="F96" s="911"/>
      <c r="G96" s="911"/>
      <c r="H96" s="911"/>
      <c r="I96" s="911"/>
      <c r="J96" s="911"/>
      <c r="K96" s="24"/>
      <c r="L96" s="24"/>
      <c r="M96" s="24"/>
      <c r="N96" s="24"/>
      <c r="O96" s="24"/>
      <c r="P96" s="24"/>
      <c r="Q96" s="24"/>
      <c r="R96" s="24"/>
    </row>
    <row r="97" spans="1:18" ht="21">
      <c r="A97" s="1156" t="str">
        <f t="shared" si="42"/>
        <v>F-12.02_130</v>
      </c>
      <c r="B97" s="362" t="s">
        <v>304</v>
      </c>
      <c r="C97" s="1738" t="s">
        <v>128</v>
      </c>
      <c r="D97" s="14" t="s">
        <v>1717</v>
      </c>
      <c r="E97" s="911"/>
      <c r="F97" s="911"/>
      <c r="G97" s="911"/>
      <c r="H97" s="911"/>
      <c r="I97" s="911"/>
      <c r="J97" s="911"/>
      <c r="K97" s="24"/>
      <c r="L97" s="24"/>
      <c r="M97" s="24"/>
      <c r="N97" s="24"/>
      <c r="O97" s="24"/>
      <c r="P97" s="24"/>
      <c r="Q97" s="24"/>
      <c r="R97" s="24"/>
    </row>
    <row r="98" spans="1:18" ht="19.5" customHeight="1">
      <c r="A98" s="1156" t="str">
        <f t="shared" si="42"/>
        <v>F-12.02_140</v>
      </c>
      <c r="B98" s="375">
        <v>140</v>
      </c>
      <c r="C98" s="1554" t="s">
        <v>1870</v>
      </c>
      <c r="D98" s="1739"/>
      <c r="E98" s="686">
        <f t="shared" ref="E98:J98" si="44">E85+E91</f>
        <v>0</v>
      </c>
      <c r="F98" s="686">
        <f t="shared" si="44"/>
        <v>0</v>
      </c>
      <c r="G98" s="686">
        <f t="shared" si="44"/>
        <v>0</v>
      </c>
      <c r="H98" s="686">
        <f t="shared" si="44"/>
        <v>0</v>
      </c>
      <c r="I98" s="686">
        <f t="shared" si="44"/>
        <v>0</v>
      </c>
      <c r="J98" s="686">
        <f t="shared" si="44"/>
        <v>0</v>
      </c>
      <c r="K98" s="24"/>
      <c r="L98" s="24"/>
      <c r="M98" s="24"/>
      <c r="N98" s="24"/>
      <c r="O98" s="24"/>
      <c r="P98" s="24"/>
      <c r="Q98" s="24"/>
      <c r="R98" s="24"/>
    </row>
    <row r="99" spans="1:18" ht="31.5">
      <c r="A99" s="1156" t="str">
        <f t="shared" si="42"/>
        <v>F-12.02_150</v>
      </c>
      <c r="B99" s="375">
        <v>150</v>
      </c>
      <c r="C99" s="1740" t="s">
        <v>2246</v>
      </c>
      <c r="D99" s="1555" t="s">
        <v>1871</v>
      </c>
      <c r="E99" s="1639"/>
      <c r="F99" s="1639"/>
      <c r="G99" s="1639"/>
      <c r="H99" s="1639"/>
      <c r="I99" s="1639"/>
      <c r="J99" s="1639"/>
      <c r="K99" s="24"/>
      <c r="L99" s="24"/>
      <c r="M99" s="24"/>
      <c r="N99" s="24"/>
      <c r="O99" s="24"/>
      <c r="P99" s="24"/>
      <c r="Q99" s="24"/>
      <c r="R99" s="24"/>
    </row>
    <row r="100" spans="1:18">
      <c r="A100" s="1156" t="s">
        <v>724</v>
      </c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</row>
    <row r="101" spans="1:18"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</row>
    <row r="102" spans="1:18"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</row>
    <row r="103" spans="1:18"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</row>
    <row r="104" spans="1:18"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</row>
    <row r="105" spans="1:18" ht="12.75" customHeight="1"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</row>
    <row r="106" spans="1:18" ht="16.5" customHeight="1"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</row>
    <row r="107" spans="1:18"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</row>
  </sheetData>
  <sheetProtection password="C2F4" sheet="1" objects="1" scenarios="1"/>
  <mergeCells count="19">
    <mergeCell ref="I11:I12"/>
    <mergeCell ref="M11:M12"/>
    <mergeCell ref="N11:N12"/>
    <mergeCell ref="O11:O12"/>
    <mergeCell ref="L11:L12"/>
    <mergeCell ref="B80:C84"/>
    <mergeCell ref="D80:D84"/>
    <mergeCell ref="E80:J80"/>
    <mergeCell ref="E81:F81"/>
    <mergeCell ref="G81:H81"/>
    <mergeCell ref="I81:J81"/>
    <mergeCell ref="E83:J83"/>
    <mergeCell ref="E11:E12"/>
    <mergeCell ref="F11:F12"/>
    <mergeCell ref="G11:G12"/>
    <mergeCell ref="D11:D12"/>
    <mergeCell ref="K11:K12"/>
    <mergeCell ref="J11:J12"/>
    <mergeCell ref="H11:H12"/>
  </mergeCells>
  <dataValidations count="3">
    <dataValidation type="whole" allowBlank="1" showInputMessage="1" showErrorMessage="1" error="wrong number format or sign" sqref="H64:J64 L64 K23:K30 K49:K64 K39:K47 G39:G46 K16:K21 N39:N46 N64:O64 G17:G21 K33:K37 G23:G30 N49:N63 E86:J90 E99:J99 G33:G37 N17:N21 N23:N30 N33:N37 E92:J97 G49:G64 F65:F66 N65:N66 N68 E65:E68 M65:M68 F68">
      <formula1>0</formula1>
      <formula2>99999999</formula2>
    </dataValidation>
    <dataValidation type="whole" allowBlank="1" showInputMessage="1" showErrorMessage="1" error="wrong number format or sign" sqref="G16:J16 E91:J91 N48 N31:N32 G22:L22 O65:O69 N38 G15:K15 F15:F46 E98:J98 G31:L32 F48:F64 G48:L48 N22 E85:J85 O15:O63 G38:L38 L15:L16 N15:N16 M15:M64 E15:E64 E69:N69 K65:K68 G65:G66 G68">
      <formula1>-99999999</formula1>
      <formula2>0</formula2>
    </dataValidation>
    <dataValidation type="whole" allowBlank="1" showInputMessage="1" showErrorMessage="1" error="wrong number format or sign" sqref="H17:J21 H23:J30 H33:J37 H39:J46 I47 L23:L30 L33:L37 L39:L46 L49:L63 H49:J63 L17:L21 J68 H65:J66 I67:I68 H68 L65:L66 L68">
      <formula1>-99999999</formula1>
      <formula2>99999999</formula2>
    </dataValidation>
  </dataValidations>
  <printOptions horizontalCentered="1" headings="1" gridLines="1"/>
  <pageMargins left="0.23622047244094491" right="0.23622047244094491" top="0.24" bottom="0.22" header="0.17" footer="0.17"/>
  <pageSetup paperSize="9" scale="45" orientation="landscape" cellComments="asDisplayed" r:id="rId1"/>
  <headerFooter scaleWithDoc="0" alignWithMargins="0"/>
  <rowBreaks count="2" manualBreakCount="2">
    <brk id="47" max="25" man="1"/>
    <brk id="77" max="25" man="1"/>
  </rowBreaks>
  <ignoredErrors>
    <ignoredError sqref="E14:G14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O62"/>
  <sheetViews>
    <sheetView topLeftCell="B6" zoomScaleNormal="100" zoomScaleSheetLayoutView="100" zoomScalePageLayoutView="96" workbookViewId="0">
      <selection activeCell="B6" sqref="B6"/>
    </sheetView>
  </sheetViews>
  <sheetFormatPr defaultColWidth="9.140625" defaultRowHeight="12.75"/>
  <cols>
    <col min="1" max="1" width="13.5703125" style="1156" hidden="1" customWidth="1"/>
    <col min="2" max="2" width="4" style="62" bestFit="1" customWidth="1"/>
    <col min="3" max="3" width="77.85546875" style="62" customWidth="1"/>
    <col min="4" max="4" width="24.28515625" style="62" customWidth="1"/>
    <col min="5" max="9" width="20.7109375" style="62" customWidth="1"/>
    <col min="10" max="10" width="17.85546875" style="62" bestFit="1" customWidth="1"/>
    <col min="11" max="12" width="16" style="62" bestFit="1" customWidth="1"/>
    <col min="13" max="14" width="15.85546875" style="62" bestFit="1" customWidth="1"/>
    <col min="15" max="16384" width="9.140625" style="62"/>
  </cols>
  <sheetData>
    <row r="1" spans="1:15" s="1097" customFormat="1" ht="18" hidden="1" customHeight="1">
      <c r="A1" s="1096" t="s">
        <v>1243</v>
      </c>
      <c r="B1" s="1118">
        <v>2</v>
      </c>
      <c r="C1" s="1118">
        <v>1</v>
      </c>
      <c r="D1" s="1119">
        <v>16</v>
      </c>
      <c r="E1" s="1182">
        <v>5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15" s="1097" customFormat="1" ht="18" hidden="1" customHeight="1">
      <c r="A2" s="1096" t="str">
        <f>Index!$A$2</f>
        <v>V20181222</v>
      </c>
      <c r="B2" s="1098"/>
      <c r="C2" s="1099"/>
      <c r="D2" s="1100"/>
      <c r="E2" s="1100" t="str">
        <f>$A$1&amp;"_"&amp;E15</f>
        <v>F-13.01_010</v>
      </c>
      <c r="F2" s="1100" t="str">
        <f>$A$1&amp;"_"&amp;F15</f>
        <v>F-13.01_020</v>
      </c>
      <c r="G2" s="1100" t="str">
        <f>$A$1&amp;"_"&amp;G15</f>
        <v>F-13.01_030</v>
      </c>
      <c r="H2" s="1100" t="str">
        <f>$A$1&amp;"_"&amp;H15</f>
        <v>F-13.01_040</v>
      </c>
      <c r="I2" s="1100" t="str">
        <f>$A$1&amp;"_"&amp;I15</f>
        <v>F-13.01_050</v>
      </c>
      <c r="J2" s="1100"/>
      <c r="K2" s="1100"/>
      <c r="L2" s="1100"/>
      <c r="M2" s="1100"/>
      <c r="N2" s="1101"/>
    </row>
    <row r="3" spans="1:15" s="1097" customFormat="1" ht="18" hidden="1" customHeight="1">
      <c r="A3" s="1096" t="str">
        <f>"R:A1:P"&amp;ROW(A62)+1</f>
        <v>R:A1:P63</v>
      </c>
      <c r="B3" s="1102"/>
      <c r="C3" s="1103"/>
      <c r="D3" s="1104"/>
      <c r="E3" s="1105"/>
      <c r="F3" s="1106"/>
      <c r="G3" s="1107"/>
      <c r="H3" s="1107"/>
      <c r="I3" s="1107"/>
      <c r="J3" s="1107"/>
      <c r="K3" s="1107"/>
    </row>
    <row r="4" spans="1:15" s="1097" customFormat="1" ht="18" hidden="1" customHeight="1">
      <c r="A4" s="1096"/>
      <c r="B4" s="1102"/>
      <c r="C4" s="1103"/>
      <c r="D4" s="1108"/>
      <c r="E4" s="1109"/>
      <c r="F4" s="1110"/>
      <c r="G4" s="1111">
        <f>N5</f>
        <v>0</v>
      </c>
      <c r="H4" s="1107"/>
      <c r="I4" s="1107"/>
      <c r="J4" s="1107"/>
      <c r="K4" s="1107"/>
    </row>
    <row r="5" spans="1:15" s="1097" customFormat="1" ht="18" hidden="1" customHeight="1">
      <c r="A5" s="1096"/>
      <c r="B5" s="1102"/>
      <c r="C5" s="1103"/>
      <c r="D5" s="1112"/>
      <c r="E5" s="1113"/>
      <c r="F5" s="1114"/>
      <c r="N5" s="1097">
        <f>COUNTIF(J15:N24,"&lt;&gt;0")-COUNTBLANK(J15:N24)+COUNTIF(E21:I30,"&lt;&gt;0")-COUNTBLANK(E21:I30)</f>
        <v>0</v>
      </c>
    </row>
    <row r="6" spans="1:15" s="1116" customFormat="1">
      <c r="A6" s="1100" t="s">
        <v>718</v>
      </c>
      <c r="B6" s="1115"/>
    </row>
    <row r="7" spans="1:15">
      <c r="A7" s="1100" t="s">
        <v>718</v>
      </c>
      <c r="B7" s="272" t="s">
        <v>569</v>
      </c>
    </row>
    <row r="8" spans="1:15">
      <c r="A8" s="1100" t="s">
        <v>718</v>
      </c>
      <c r="B8" s="63"/>
    </row>
    <row r="9" spans="1:15">
      <c r="A9" s="1100" t="s">
        <v>718</v>
      </c>
      <c r="B9" s="33" t="s">
        <v>1832</v>
      </c>
      <c r="D9" s="590"/>
      <c r="H9" s="32"/>
      <c r="I9" s="32"/>
    </row>
    <row r="10" spans="1:15">
      <c r="A10" s="1100" t="s">
        <v>718</v>
      </c>
      <c r="B10" s="33"/>
      <c r="D10" s="33"/>
      <c r="H10" s="32"/>
      <c r="I10" s="32"/>
    </row>
    <row r="11" spans="1:15" ht="27" customHeight="1">
      <c r="A11" s="1100" t="s">
        <v>718</v>
      </c>
      <c r="C11" s="33"/>
      <c r="D11" s="33"/>
      <c r="E11" s="2012" t="s">
        <v>1834</v>
      </c>
      <c r="F11" s="2084"/>
      <c r="G11" s="2084"/>
      <c r="H11" s="2084"/>
      <c r="I11" s="2085"/>
    </row>
    <row r="12" spans="1:15" ht="30.75" customHeight="1">
      <c r="A12" s="1100" t="s">
        <v>718</v>
      </c>
      <c r="B12" s="402"/>
      <c r="C12" s="1986" t="s">
        <v>144</v>
      </c>
      <c r="D12" s="380" t="s">
        <v>551</v>
      </c>
      <c r="E12" s="2087" t="s">
        <v>1835</v>
      </c>
      <c r="F12" s="2088"/>
      <c r="G12" s="2090" t="s">
        <v>107</v>
      </c>
      <c r="H12" s="1980"/>
      <c r="I12" s="1981" t="s">
        <v>368</v>
      </c>
    </row>
    <row r="13" spans="1:15" ht="21">
      <c r="A13" s="1100" t="s">
        <v>718</v>
      </c>
      <c r="B13" s="493"/>
      <c r="C13" s="2086"/>
      <c r="D13" s="494"/>
      <c r="E13" s="613" t="s">
        <v>145</v>
      </c>
      <c r="F13" s="613" t="s">
        <v>146</v>
      </c>
      <c r="G13" s="613" t="s">
        <v>484</v>
      </c>
      <c r="H13" s="613" t="s">
        <v>147</v>
      </c>
      <c r="I13" s="1982"/>
    </row>
    <row r="14" spans="1:15">
      <c r="A14" s="1100" t="s">
        <v>718</v>
      </c>
      <c r="B14" s="493"/>
      <c r="C14" s="2086"/>
      <c r="D14" s="494" t="s">
        <v>538</v>
      </c>
      <c r="E14" s="425" t="s">
        <v>1836</v>
      </c>
      <c r="F14" s="425" t="s">
        <v>1836</v>
      </c>
      <c r="G14" s="425" t="s">
        <v>1837</v>
      </c>
      <c r="H14" s="425" t="s">
        <v>1837</v>
      </c>
      <c r="I14" s="425" t="s">
        <v>1838</v>
      </c>
    </row>
    <row r="15" spans="1:15">
      <c r="A15" s="1100" t="s">
        <v>718</v>
      </c>
      <c r="B15" s="405"/>
      <c r="C15" s="495"/>
      <c r="D15" s="496"/>
      <c r="E15" s="429" t="s">
        <v>292</v>
      </c>
      <c r="F15" s="429" t="s">
        <v>293</v>
      </c>
      <c r="G15" s="429" t="s">
        <v>294</v>
      </c>
      <c r="H15" s="429" t="s">
        <v>295</v>
      </c>
      <c r="I15" s="429" t="s">
        <v>296</v>
      </c>
    </row>
    <row r="16" spans="1:15">
      <c r="A16" s="1156" t="str">
        <f>$A$1&amp;"_"&amp;B16</f>
        <v>F-13.01_010</v>
      </c>
      <c r="B16" s="430" t="s">
        <v>292</v>
      </c>
      <c r="C16" s="190" t="s">
        <v>61</v>
      </c>
      <c r="D16" s="14" t="s">
        <v>1715</v>
      </c>
      <c r="E16" s="919"/>
      <c r="F16" s="919"/>
      <c r="G16" s="919"/>
      <c r="H16" s="919"/>
      <c r="I16" s="919"/>
      <c r="J16" s="676">
        <f>IF($E$16&gt;=0,0,"F13.1,c10,r10&gt;=0")</f>
        <v>0</v>
      </c>
      <c r="K16" s="676">
        <f>IF($F$16&gt;=0,0,"F13.1,c20,r10&gt;=0")</f>
        <v>0</v>
      </c>
      <c r="L16" s="676">
        <f>IF($G$16&gt;=0,0,"F13.1,c30,r10&gt;=0")</f>
        <v>0</v>
      </c>
      <c r="M16" s="676">
        <f>IF($H$16&gt;=0,0,"F13.1,c40,r10&gt;=0")</f>
        <v>0</v>
      </c>
      <c r="N16" s="676">
        <f>IF($I$16&gt;=0,0,"F13.1,c50,r10&gt;=0")</f>
        <v>0</v>
      </c>
    </row>
    <row r="17" spans="1:15">
      <c r="A17" s="1156" t="str">
        <f>$A$1&amp;"_"&amp;B17</f>
        <v>F-13.01_020</v>
      </c>
      <c r="B17" s="431" t="s">
        <v>293</v>
      </c>
      <c r="C17" s="293" t="s">
        <v>148</v>
      </c>
      <c r="D17" s="294" t="s">
        <v>1710</v>
      </c>
      <c r="E17" s="911"/>
      <c r="F17" s="911"/>
      <c r="G17" s="911"/>
      <c r="H17" s="911"/>
      <c r="I17" s="911"/>
      <c r="J17" s="676">
        <f>IF($E$17&gt;=0,0,"F13.1,c10,r20&gt;=0")</f>
        <v>0</v>
      </c>
      <c r="K17" s="676">
        <f>IF($F$17&gt;=0,0,"F13.1,c20,r20&gt;=0")</f>
        <v>0</v>
      </c>
      <c r="L17" s="676">
        <f>IF($G$17&gt;=0,0,"F13.1,c30,r20&gt;=0")</f>
        <v>0</v>
      </c>
      <c r="M17" s="676">
        <f>IF($H$17&gt;=0,0,"F13.1,c40,r20&gt;=0")</f>
        <v>0</v>
      </c>
      <c r="N17" s="676">
        <f>IF($I$17&gt;=0,0,"F13.1,c50,r20&gt;=0")</f>
        <v>0</v>
      </c>
    </row>
    <row r="18" spans="1:15">
      <c r="A18" s="1156" t="str">
        <f>$A$1&amp;"_"&amp;B18</f>
        <v>F-13.01_030</v>
      </c>
      <c r="B18" s="431" t="s">
        <v>294</v>
      </c>
      <c r="C18" s="293" t="s">
        <v>482</v>
      </c>
      <c r="D18" s="294" t="s">
        <v>1711</v>
      </c>
      <c r="E18" s="911"/>
      <c r="F18" s="911"/>
      <c r="G18" s="911"/>
      <c r="H18" s="911"/>
      <c r="I18" s="911"/>
      <c r="J18" s="676">
        <f>IF($E$18&gt;=0,0,"F13.1,c10,r30&gt;=0")</f>
        <v>0</v>
      </c>
      <c r="K18" s="676">
        <f>IF($F$18&gt;=0,0,"F13.1,c20,r30&gt;=0")</f>
        <v>0</v>
      </c>
      <c r="L18" s="676">
        <f>IF($G$18&gt;=0,0,"F13.1,c30,r30&gt;=0")</f>
        <v>0</v>
      </c>
      <c r="M18" s="676">
        <f>IF($H$18&gt;=0,0,"F13.1,c40,r30&gt;=0")</f>
        <v>0</v>
      </c>
      <c r="N18" s="676">
        <f>IF($I$18&gt;=0,0,"F13.1,c50,r30&gt;=0")</f>
        <v>0</v>
      </c>
    </row>
    <row r="19" spans="1:15">
      <c r="A19" s="1156" t="str">
        <f>$A$1&amp;"_"&amp;B19</f>
        <v>F-13.01_040</v>
      </c>
      <c r="B19" s="502" t="s">
        <v>295</v>
      </c>
      <c r="C19" s="1633" t="s">
        <v>483</v>
      </c>
      <c r="D19" s="1634" t="s">
        <v>1717</v>
      </c>
      <c r="E19" s="911"/>
      <c r="F19" s="911"/>
      <c r="G19" s="911"/>
      <c r="H19" s="911"/>
      <c r="I19" s="911"/>
      <c r="J19" s="676">
        <f>IF($E$19&gt;=0,0,"F13.1,c10,r40&gt;=0")</f>
        <v>0</v>
      </c>
      <c r="K19" s="676">
        <f>IF($F$19&gt;=0,0,"F13.1,c20,r40&gt;=0")</f>
        <v>0</v>
      </c>
      <c r="L19" s="676">
        <f>IF($G$19&gt;=0,0,"F13.1,c30,r40&gt;=0")</f>
        <v>0</v>
      </c>
      <c r="M19" s="676">
        <f>IF($H$19&gt;=0,0,"F13.1,c40,r40&gt;=0")</f>
        <v>0</v>
      </c>
      <c r="N19" s="676">
        <f>IF($I$19&gt;=0,0,"F13.1,c50,r40&gt;=0")</f>
        <v>0</v>
      </c>
    </row>
    <row r="20" spans="1:15">
      <c r="A20" s="1156" t="str">
        <f>$A$1&amp;"_"&amp;B20</f>
        <v>F-13.01_050</v>
      </c>
      <c r="B20" s="1500" t="s">
        <v>296</v>
      </c>
      <c r="C20" s="1742" t="s">
        <v>385</v>
      </c>
      <c r="D20" s="117" t="s">
        <v>1833</v>
      </c>
      <c r="E20" s="920"/>
      <c r="F20" s="920"/>
      <c r="G20" s="920"/>
      <c r="H20" s="920"/>
      <c r="I20" s="920"/>
      <c r="J20" s="1491">
        <f>IF($E$20&gt;=0,0,"F13.1,c10,r40&gt;=0")</f>
        <v>0</v>
      </c>
      <c r="K20" s="1491">
        <f>IF($F$20&gt;=0,0,"F13.1,c20,r40&gt;=0")</f>
        <v>0</v>
      </c>
      <c r="L20" s="1491">
        <f>IF($G$20&gt;=0,0,"F13.1,c30,r40&gt;=0")</f>
        <v>0</v>
      </c>
      <c r="M20" s="1491">
        <f>IF($H$20&gt;=0,0,"F13.1,c40,r40&gt;=0")</f>
        <v>0</v>
      </c>
      <c r="N20" s="1491">
        <f>IF($I$20&gt;=0,0,"F13.1,c50,r40&gt;=0")</f>
        <v>0</v>
      </c>
    </row>
    <row r="21" spans="1:15" ht="29.25" customHeight="1">
      <c r="A21" s="1100" t="s">
        <v>718</v>
      </c>
      <c r="C21" s="102"/>
      <c r="D21" s="1218"/>
      <c r="E21" s="2091">
        <f>IF(SUM($E$16:$I$16)&lt;=SUM('1.1'!$F$16+'1.1'!$F$17+'1.1'!$F$26+'1.1'!$F$29+'1.1'!$F$33++'1.1'!$F$36),0,"sum({F 13.01, r010, (c010-050)}) &lt;= sum({F 01.01, c010, (r030, r040, r099, r130, r144, r183)})")</f>
        <v>0</v>
      </c>
      <c r="F21" s="2091"/>
      <c r="G21" s="2091"/>
      <c r="H21" s="2091"/>
      <c r="I21" s="2091"/>
      <c r="J21" s="625">
        <f>IF($E$16&gt;=SUM($E$17:$E$19),0,"r10,c10&gt;=sum(r20-40),c10")</f>
        <v>0</v>
      </c>
      <c r="K21" s="625">
        <f>IF($F$16&gt;=SUM($F$17:$F$19),0,"r10,c20&gt;=sum(r20-40),c20")</f>
        <v>0</v>
      </c>
    </row>
    <row r="22" spans="1:15" ht="29.25" customHeight="1">
      <c r="A22" s="1100" t="s">
        <v>718</v>
      </c>
      <c r="C22" s="102"/>
      <c r="D22" s="1218"/>
      <c r="E22" s="1988">
        <f>IF(SUM($E$16:$F$16)&lt;=SUM('5'!H23:L23),0,"sum({F 13.01, r010, (c010-020)}) &lt;= sum({F 05.01, r090, (c020-060)})")</f>
        <v>0</v>
      </c>
      <c r="F22" s="1988"/>
      <c r="G22" s="1988"/>
      <c r="H22" s="1988"/>
      <c r="I22" s="1988"/>
      <c r="J22" s="625">
        <f>IF($G$16&gt;=SUM($G$17:$G$19),0,"r10,c30&gt;=sum(r20-40),c30")</f>
        <v>0</v>
      </c>
    </row>
    <row r="23" spans="1:15" ht="29.25" customHeight="1">
      <c r="A23" s="1100" t="s">
        <v>718</v>
      </c>
      <c r="C23" s="102"/>
      <c r="D23" s="1218"/>
      <c r="E23" s="1988">
        <f>IF(SUM($E$16:$I$16)&lt;=SUM('5'!$G$22:$L$22),0,"sum({F 13.01, r010, (c010-050)}) &lt;= sum({F 05.01, r080, (c010-060)})")</f>
        <v>0</v>
      </c>
      <c r="F23" s="1988"/>
      <c r="G23" s="1988"/>
      <c r="H23" s="1988"/>
      <c r="I23" s="1988"/>
      <c r="J23" s="625">
        <f>IF($H$16&gt;=SUM($H$17:$H$19),0,"r10,c40&gt;=sum(r20-40),c40")</f>
        <v>0</v>
      </c>
    </row>
    <row r="24" spans="1:15" ht="29.25" customHeight="1">
      <c r="A24" s="1100" t="s">
        <v>718</v>
      </c>
      <c r="C24" s="102"/>
      <c r="D24" s="1218"/>
      <c r="E24" s="1988">
        <f>IF(SUM($E$17:$F$17)&lt;='5'!J23,0,"sum({F 13.01, r020, (c010-020)}) &lt;= {F 05.01, r090, c040}")</f>
        <v>0</v>
      </c>
      <c r="F24" s="1988"/>
      <c r="G24" s="1988"/>
      <c r="H24" s="1650"/>
      <c r="I24" s="1650"/>
      <c r="J24" s="625">
        <f>IF($I$16&gt;=SUM($I$17:$I$19),0,"r10,c50&gt;=sum(r20-40),c50")</f>
        <v>0</v>
      </c>
    </row>
    <row r="25" spans="1:15" ht="29.25" customHeight="1">
      <c r="A25" s="1100" t="s">
        <v>718</v>
      </c>
      <c r="C25" s="102"/>
      <c r="D25" s="1218"/>
      <c r="E25" s="1988">
        <f>IF(SUM($E$17:$I$17)&lt;='5'!J22,0,"sum({F 13.01, r020, (c010-050)}) &lt;= {F 05.01, r080, c040}")</f>
        <v>0</v>
      </c>
      <c r="F25" s="1988"/>
      <c r="G25" s="1988"/>
      <c r="H25" s="1650"/>
      <c r="I25" s="1650"/>
      <c r="J25" s="625"/>
    </row>
    <row r="26" spans="1:15" ht="29.25" customHeight="1">
      <c r="A26" s="1100" t="s">
        <v>718</v>
      </c>
      <c r="C26" s="102"/>
      <c r="D26" s="1218"/>
      <c r="E26" s="1988">
        <f>IF(SUM($E$18:$F$18)&lt;='5'!K23,0,"sum({F 13.01, r030, (c010-020)}) &lt;= {F 05.01, r090, c050}")</f>
        <v>0</v>
      </c>
      <c r="F26" s="1988"/>
      <c r="G26" s="1988"/>
      <c r="H26" s="1650"/>
      <c r="I26" s="1650"/>
      <c r="J26" s="625"/>
    </row>
    <row r="27" spans="1:15" ht="29.25" customHeight="1">
      <c r="A27" s="1100" t="s">
        <v>718</v>
      </c>
      <c r="C27" s="102"/>
      <c r="D27" s="1218"/>
      <c r="E27" s="1988">
        <f>IF(SUM($E$18:$I$18)&lt;='5'!K22,0,"sum({F 13.01, r030, (c010-050)}) &lt;= {F 05.01, r080, c050}")</f>
        <v>0</v>
      </c>
      <c r="F27" s="1988"/>
      <c r="G27" s="1988"/>
      <c r="H27" s="1650"/>
      <c r="I27" s="1650"/>
      <c r="J27" s="625"/>
    </row>
    <row r="28" spans="1:15" ht="29.25" customHeight="1">
      <c r="A28" s="1100" t="s">
        <v>718</v>
      </c>
      <c r="C28" s="102"/>
      <c r="D28" s="1218"/>
      <c r="E28" s="1988">
        <f>IF(SUM($E$19:$F$19)&lt;='5'!L23,0,"sum({F 13.01, r040, (c010-020)}) &lt;= {F 05.01, r090, c060}")</f>
        <v>0</v>
      </c>
      <c r="F28" s="1988"/>
      <c r="G28" s="1988"/>
      <c r="H28" s="1650"/>
      <c r="I28" s="1650"/>
      <c r="J28" s="625"/>
    </row>
    <row r="29" spans="1:15" ht="30.75" customHeight="1">
      <c r="A29" s="1100" t="s">
        <v>718</v>
      </c>
      <c r="C29" s="1218"/>
      <c r="D29" s="1218"/>
      <c r="E29" s="1988">
        <f>IF(SUM($E$19:$I$19)&lt;='5'!L22,0,"sum({F 13.01, r040, (c010-050)}) &lt;= {F 05.01, r080, c060}")</f>
        <v>0</v>
      </c>
      <c r="F29" s="1988"/>
      <c r="G29" s="1988"/>
      <c r="H29" s="1988"/>
      <c r="I29" s="1988"/>
    </row>
    <row r="30" spans="1:15" ht="30.75" customHeight="1">
      <c r="A30" s="1156" t="s">
        <v>724</v>
      </c>
      <c r="C30" s="1218"/>
      <c r="D30" s="1218"/>
      <c r="E30" s="1988">
        <f>IF(SUM($E$20:$I$20)&lt;='5'!L26,0,"sum({F 13.01, r050, (c010-050)}) &lt;= {F 05.01, r120, c060}")</f>
        <v>0</v>
      </c>
      <c r="F30" s="1988"/>
      <c r="G30" s="1988"/>
      <c r="H30" s="1650"/>
      <c r="I30" s="1650"/>
    </row>
    <row r="31" spans="1:15" s="1097" customFormat="1" ht="18" hidden="1" customHeight="1">
      <c r="A31" s="1096" t="s">
        <v>1244</v>
      </c>
      <c r="B31" s="1118">
        <v>2</v>
      </c>
      <c r="C31" s="1118">
        <v>1</v>
      </c>
      <c r="D31" s="1119">
        <v>11</v>
      </c>
      <c r="E31" s="1182">
        <v>5</v>
      </c>
      <c r="F31" s="1120">
        <v>3</v>
      </c>
      <c r="G31" s="1121">
        <v>4</v>
      </c>
      <c r="H31" s="1122">
        <v>4</v>
      </c>
      <c r="I31" s="1122">
        <v>4</v>
      </c>
      <c r="J31" s="1123">
        <v>4</v>
      </c>
      <c r="K31" s="1123">
        <v>5</v>
      </c>
      <c r="L31" s="1124">
        <v>4</v>
      </c>
      <c r="M31" s="1124">
        <v>6</v>
      </c>
      <c r="N31" s="1125">
        <v>4</v>
      </c>
      <c r="O31" s="1125">
        <v>7</v>
      </c>
    </row>
    <row r="32" spans="1:15" s="1097" customFormat="1" ht="18" hidden="1" customHeight="1">
      <c r="A32" s="1096" t="str">
        <f>Index!$A$2</f>
        <v>V20181222</v>
      </c>
      <c r="B32" s="1098"/>
      <c r="C32" s="1099"/>
      <c r="D32" s="1100"/>
      <c r="E32" s="1100" t="str">
        <f>$A$31&amp;"_"&amp;E41</f>
        <v>F-13.02_010</v>
      </c>
      <c r="F32" s="1100"/>
      <c r="G32" s="1100"/>
      <c r="H32" s="1100"/>
      <c r="I32" s="1100"/>
      <c r="J32" s="1100"/>
      <c r="K32" s="1100"/>
      <c r="L32" s="1100"/>
      <c r="M32" s="1100"/>
      <c r="N32" s="1101"/>
    </row>
    <row r="33" spans="1:14" s="1097" customFormat="1" ht="18" hidden="1" customHeight="1">
      <c r="A33" s="1096" t="str">
        <f>"R:A1:P"&amp;ROW(A79)+1</f>
        <v>R:A1:P80</v>
      </c>
      <c r="B33" s="1102"/>
      <c r="C33" s="1103"/>
      <c r="D33" s="1104"/>
      <c r="E33" s="1105"/>
      <c r="F33" s="1106"/>
      <c r="G33" s="1107"/>
      <c r="H33" s="1107"/>
      <c r="I33" s="1107"/>
      <c r="J33" s="1107"/>
      <c r="K33" s="1107"/>
    </row>
    <row r="34" spans="1:14" s="1097" customFormat="1" ht="18" hidden="1" customHeight="1">
      <c r="A34" s="1100" t="s">
        <v>718</v>
      </c>
      <c r="B34" s="1102"/>
      <c r="C34" s="1103"/>
      <c r="D34" s="1108"/>
      <c r="E34" s="1109"/>
      <c r="F34" s="1110"/>
      <c r="G34" s="1111">
        <f>N35</f>
        <v>0</v>
      </c>
      <c r="H34" s="1107"/>
      <c r="I34" s="1107"/>
      <c r="J34" s="1107"/>
      <c r="K34" s="1107"/>
    </row>
    <row r="35" spans="1:14" s="1097" customFormat="1" ht="18" hidden="1" customHeight="1">
      <c r="A35" s="1100" t="s">
        <v>718</v>
      </c>
      <c r="B35" s="1102"/>
      <c r="C35" s="1103"/>
      <c r="D35" s="1112"/>
      <c r="E35" s="1113"/>
      <c r="F35" s="1114"/>
      <c r="N35" s="1097">
        <f>COUNTIF(F42:I47,"&lt;&gt;0")-COUNTBLANK(F42:I47)</f>
        <v>0</v>
      </c>
    </row>
    <row r="36" spans="1:14" s="1116" customFormat="1">
      <c r="A36" s="1100" t="s">
        <v>718</v>
      </c>
      <c r="B36" s="1115"/>
    </row>
    <row r="37" spans="1:14" ht="32.25" customHeight="1">
      <c r="A37" s="1100" t="s">
        <v>718</v>
      </c>
      <c r="B37" s="63" t="s">
        <v>570</v>
      </c>
      <c r="H37" s="2092"/>
      <c r="I37" s="2092"/>
    </row>
    <row r="38" spans="1:14" ht="33" customHeight="1">
      <c r="A38" s="1100" t="s">
        <v>718</v>
      </c>
      <c r="C38" s="93"/>
      <c r="E38" s="2089"/>
      <c r="F38" s="2089"/>
      <c r="G38" s="2089"/>
      <c r="H38" s="2089"/>
      <c r="I38" s="625"/>
    </row>
    <row r="39" spans="1:14">
      <c r="A39" s="1100" t="s">
        <v>718</v>
      </c>
      <c r="B39" s="402"/>
      <c r="C39" s="498"/>
      <c r="D39" s="1992" t="s">
        <v>551</v>
      </c>
      <c r="E39" s="499" t="s">
        <v>57</v>
      </c>
      <c r="F39" s="671"/>
      <c r="G39" s="671"/>
    </row>
    <row r="40" spans="1:14">
      <c r="A40" s="1100"/>
      <c r="B40" s="493"/>
      <c r="C40" s="1547"/>
      <c r="D40" s="1993"/>
      <c r="E40" s="1548" t="s">
        <v>1839</v>
      </c>
      <c r="F40" s="671"/>
      <c r="G40" s="671"/>
      <c r="J40" s="625"/>
    </row>
    <row r="41" spans="1:14">
      <c r="A41" s="1100" t="s">
        <v>718</v>
      </c>
      <c r="B41" s="405"/>
      <c r="C41" s="500"/>
      <c r="D41" s="1994"/>
      <c r="E41" s="429" t="s">
        <v>292</v>
      </c>
      <c r="F41" s="671"/>
      <c r="G41" s="671"/>
    </row>
    <row r="42" spans="1:14">
      <c r="A42" s="1156" t="str">
        <f t="shared" ref="A42:A47" si="0">$A$31&amp;"_"&amp;B42</f>
        <v>F-13.02_010</v>
      </c>
      <c r="B42" s="430" t="s">
        <v>292</v>
      </c>
      <c r="C42" s="161" t="s">
        <v>158</v>
      </c>
      <c r="D42" s="342" t="s">
        <v>537</v>
      </c>
      <c r="E42" s="963"/>
      <c r="F42" s="671"/>
      <c r="G42" s="676">
        <f>IF($E$42&gt;=0,0,"F13.2,c10,r10&gt;=0")</f>
        <v>0</v>
      </c>
    </row>
    <row r="43" spans="1:14">
      <c r="A43" s="1156" t="str">
        <f t="shared" si="0"/>
        <v>F-13.02_020</v>
      </c>
      <c r="B43" s="431" t="s">
        <v>293</v>
      </c>
      <c r="C43" s="95" t="s">
        <v>151</v>
      </c>
      <c r="D43" s="343" t="s">
        <v>537</v>
      </c>
      <c r="E43" s="907"/>
      <c r="F43" s="676">
        <f>IF($E$43&lt;='1.1'!$F$41,0,"F13.2,r20&lt;=F1.1,r280")</f>
        <v>0</v>
      </c>
      <c r="G43" s="676">
        <f>IF($E$43&gt;=0,0,"F13.2,c10,r20&gt;=0")</f>
        <v>0</v>
      </c>
    </row>
    <row r="44" spans="1:14">
      <c r="A44" s="1156" t="str">
        <f t="shared" si="0"/>
        <v>F-13.02_030</v>
      </c>
      <c r="B44" s="431" t="s">
        <v>294</v>
      </c>
      <c r="C44" s="95" t="s">
        <v>159</v>
      </c>
      <c r="D44" s="343" t="s">
        <v>537</v>
      </c>
      <c r="E44" s="907"/>
      <c r="F44" s="671"/>
      <c r="G44" s="676">
        <f>IF($E$44&gt;=0,0,"F13.2,c10,r30&gt;=0")</f>
        <v>0</v>
      </c>
      <c r="H44" s="676">
        <f>IF($E$44&lt;=$E$60,0,"F13.2,r30,c10&lt;=F13.3,r10,c10")</f>
        <v>0</v>
      </c>
    </row>
    <row r="45" spans="1:14">
      <c r="A45" s="1156" t="str">
        <f t="shared" si="0"/>
        <v>F-13.02_040</v>
      </c>
      <c r="B45" s="431" t="s">
        <v>295</v>
      </c>
      <c r="C45" s="95" t="s">
        <v>160</v>
      </c>
      <c r="D45" s="343" t="s">
        <v>537</v>
      </c>
      <c r="E45" s="907"/>
      <c r="F45" s="671"/>
      <c r="G45" s="676">
        <f>IF($E$45&gt;=0,0,"F13.2,c10,r40&gt;=0")</f>
        <v>0</v>
      </c>
    </row>
    <row r="46" spans="1:14">
      <c r="A46" s="1156" t="str">
        <f t="shared" si="0"/>
        <v>F-13.02_050</v>
      </c>
      <c r="B46" s="502" t="s">
        <v>296</v>
      </c>
      <c r="C46" s="96" t="s">
        <v>93</v>
      </c>
      <c r="D46" s="344" t="s">
        <v>537</v>
      </c>
      <c r="E46" s="910"/>
      <c r="F46" s="671"/>
      <c r="G46" s="676">
        <f>IF($E$46&gt;=0,0,"F13.2,c10,r50&gt;=0")</f>
        <v>0</v>
      </c>
    </row>
    <row r="47" spans="1:14">
      <c r="A47" s="1156" t="str">
        <f t="shared" si="0"/>
        <v>F-13.02_060</v>
      </c>
      <c r="B47" s="503" t="s">
        <v>297</v>
      </c>
      <c r="C47" s="97" t="s">
        <v>82</v>
      </c>
      <c r="D47" s="345"/>
      <c r="E47" s="685">
        <f>SUM($E$42:$E$46)</f>
        <v>0</v>
      </c>
      <c r="F47" s="671"/>
      <c r="G47" s="676">
        <f>IF($E$47&gt;=0,0,"F13.2,c10,r60&gt;=0")</f>
        <v>0</v>
      </c>
    </row>
    <row r="48" spans="1:14">
      <c r="A48" s="1100" t="s">
        <v>718</v>
      </c>
      <c r="C48" s="98"/>
      <c r="D48" s="99"/>
      <c r="E48" s="100"/>
      <c r="F48" s="672"/>
      <c r="G48" s="673"/>
      <c r="H48" s="98"/>
      <c r="I48" s="98"/>
    </row>
    <row r="49" spans="1:15">
      <c r="A49" s="1156" t="s">
        <v>724</v>
      </c>
      <c r="C49" s="98"/>
      <c r="D49" s="98"/>
      <c r="E49" s="292"/>
      <c r="F49" s="674"/>
      <c r="G49" s="673"/>
      <c r="H49" s="98"/>
      <c r="I49" s="98"/>
    </row>
    <row r="50" spans="1:15" s="1097" customFormat="1" ht="18" hidden="1" customHeight="1">
      <c r="A50" s="1096" t="s">
        <v>1245</v>
      </c>
      <c r="B50" s="1118">
        <v>2</v>
      </c>
      <c r="C50" s="1118">
        <v>1</v>
      </c>
      <c r="D50" s="1119">
        <v>11</v>
      </c>
      <c r="E50" s="1182">
        <v>5</v>
      </c>
      <c r="F50" s="1120">
        <v>3</v>
      </c>
      <c r="G50" s="1121">
        <v>4</v>
      </c>
      <c r="H50" s="1122">
        <v>4</v>
      </c>
      <c r="I50" s="1122">
        <v>4</v>
      </c>
      <c r="J50" s="1123">
        <v>4</v>
      </c>
      <c r="K50" s="1123">
        <v>5</v>
      </c>
      <c r="L50" s="1124">
        <v>4</v>
      </c>
      <c r="M50" s="1124">
        <v>6</v>
      </c>
      <c r="N50" s="1125">
        <v>4</v>
      </c>
      <c r="O50" s="1125">
        <v>7</v>
      </c>
    </row>
    <row r="51" spans="1:15" s="1097" customFormat="1" ht="18" hidden="1" customHeight="1">
      <c r="A51" s="1096" t="str">
        <f>Index!$A$2</f>
        <v>V20181222</v>
      </c>
      <c r="B51" s="1098"/>
      <c r="C51" s="1099"/>
      <c r="D51" s="1100"/>
      <c r="E51" s="1100" t="str">
        <f>$A$50&amp;"_"&amp;E59</f>
        <v>F-13.03_010</v>
      </c>
      <c r="F51" s="1100"/>
      <c r="G51" s="1100"/>
      <c r="H51" s="1100"/>
      <c r="I51" s="1100"/>
      <c r="J51" s="1100"/>
      <c r="K51" s="1100"/>
      <c r="L51" s="1100"/>
      <c r="M51" s="1100"/>
      <c r="N51" s="1101"/>
    </row>
    <row r="52" spans="1:15" s="1097" customFormat="1" ht="18" hidden="1" customHeight="1">
      <c r="A52" s="1096" t="str">
        <f>"R:A1:P"&amp;ROW(A97)+1</f>
        <v>R:A1:P98</v>
      </c>
      <c r="B52" s="1102"/>
      <c r="C52" s="1103"/>
      <c r="D52" s="1104"/>
      <c r="E52" s="1105"/>
      <c r="F52" s="1106"/>
      <c r="G52" s="1107"/>
      <c r="H52" s="1107"/>
      <c r="I52" s="1107"/>
      <c r="J52" s="1107"/>
      <c r="K52" s="1107"/>
    </row>
    <row r="53" spans="1:15" s="1097" customFormat="1" ht="18" hidden="1" customHeight="1">
      <c r="A53" s="1100" t="s">
        <v>718</v>
      </c>
      <c r="B53" s="1102"/>
      <c r="C53" s="1103"/>
      <c r="D53" s="1108"/>
      <c r="E53" s="1109"/>
      <c r="F53" s="1110"/>
      <c r="G53" s="1111">
        <f>N54</f>
        <v>0</v>
      </c>
      <c r="H53" s="1107"/>
      <c r="I53" s="1107"/>
      <c r="J53" s="1107"/>
      <c r="K53" s="1107"/>
    </row>
    <row r="54" spans="1:15" s="1097" customFormat="1" ht="18" hidden="1" customHeight="1">
      <c r="A54" s="1100" t="s">
        <v>718</v>
      </c>
      <c r="B54" s="1102"/>
      <c r="C54" s="1103"/>
      <c r="D54" s="1112"/>
      <c r="E54" s="1113"/>
      <c r="F54" s="1114"/>
      <c r="N54" s="1097">
        <f>COUNTIF(G60:H60,"&lt;&gt;0")-COUNTBLANK(G60:H60)</f>
        <v>0</v>
      </c>
    </row>
    <row r="55" spans="1:15" s="1116" customFormat="1">
      <c r="A55" s="1100" t="s">
        <v>718</v>
      </c>
      <c r="B55" s="1115"/>
    </row>
    <row r="56" spans="1:15" ht="12.6" customHeight="1">
      <c r="A56" s="1100" t="s">
        <v>718</v>
      </c>
      <c r="B56" s="63" t="s">
        <v>571</v>
      </c>
      <c r="D56" s="98"/>
      <c r="E56" s="292"/>
      <c r="F56" s="674"/>
      <c r="G56" s="673"/>
      <c r="H56" s="98"/>
      <c r="I56" s="98"/>
    </row>
    <row r="57" spans="1:15">
      <c r="A57" s="1100" t="s">
        <v>718</v>
      </c>
      <c r="F57" s="671"/>
      <c r="G57" s="671"/>
      <c r="I57" s="63"/>
    </row>
    <row r="58" spans="1:15">
      <c r="A58" s="1100" t="s">
        <v>718</v>
      </c>
      <c r="B58" s="402"/>
      <c r="C58" s="498"/>
      <c r="D58" s="404" t="s">
        <v>551</v>
      </c>
      <c r="E58" s="499" t="s">
        <v>57</v>
      </c>
      <c r="F58" s="671"/>
      <c r="G58" s="671"/>
    </row>
    <row r="59" spans="1:15">
      <c r="A59" s="1100" t="s">
        <v>718</v>
      </c>
      <c r="B59" s="405"/>
      <c r="C59" s="500"/>
      <c r="D59" s="501"/>
      <c r="E59" s="429" t="s">
        <v>292</v>
      </c>
      <c r="F59" s="671"/>
      <c r="G59" s="671"/>
    </row>
    <row r="60" spans="1:15" s="91" customFormat="1" ht="21">
      <c r="A60" s="1156" t="str">
        <f>$A$50&amp;"_"&amp;B60</f>
        <v>F-13.03_010</v>
      </c>
      <c r="B60" s="432" t="s">
        <v>292</v>
      </c>
      <c r="C60" s="239" t="s">
        <v>161</v>
      </c>
      <c r="D60" s="352" t="s">
        <v>1840</v>
      </c>
      <c r="E60" s="964"/>
      <c r="F60" s="675"/>
      <c r="G60" s="675">
        <f>IF($E$60&gt;=0,0,"F13.3,c10,r10&gt;=0")</f>
        <v>0</v>
      </c>
    </row>
    <row r="61" spans="1:15">
      <c r="A61" s="1097" t="s">
        <v>718</v>
      </c>
      <c r="B61" s="1688"/>
    </row>
    <row r="62" spans="1:15">
      <c r="A62" s="1156" t="s">
        <v>724</v>
      </c>
    </row>
  </sheetData>
  <sheetProtection password="C2F4" sheet="1" objects="1" scenarios="1"/>
  <mergeCells count="22">
    <mergeCell ref="E30:G30"/>
    <mergeCell ref="E24:G24"/>
    <mergeCell ref="E25:G25"/>
    <mergeCell ref="E26:G26"/>
    <mergeCell ref="E27:G27"/>
    <mergeCell ref="E28:G28"/>
    <mergeCell ref="E11:I11"/>
    <mergeCell ref="D39:D41"/>
    <mergeCell ref="I12:I13"/>
    <mergeCell ref="C12:C14"/>
    <mergeCell ref="E12:F12"/>
    <mergeCell ref="E38:H38"/>
    <mergeCell ref="G12:H12"/>
    <mergeCell ref="E21:G21"/>
    <mergeCell ref="E29:G29"/>
    <mergeCell ref="E22:G22"/>
    <mergeCell ref="H21:I21"/>
    <mergeCell ref="H29:I29"/>
    <mergeCell ref="H22:I22"/>
    <mergeCell ref="H37:I37"/>
    <mergeCell ref="E23:G23"/>
    <mergeCell ref="H23:I23"/>
  </mergeCells>
  <dataValidations count="1">
    <dataValidation type="whole" allowBlank="1" showInputMessage="1" showErrorMessage="1" error="wrong number format or sign" sqref="C29:C30 E60 E42:E47 E16:I20">
      <formula1>0</formula1>
      <formula2>99999999</formula2>
    </dataValidation>
  </dataValidations>
  <printOptions horizontalCentered="1" headings="1" gridLines="1"/>
  <pageMargins left="0.23622047244094491" right="0.23622047244094491" top="0.32" bottom="0.23" header="0.17" footer="0.17"/>
  <pageSetup paperSize="9" scale="49" orientation="landscape" cellComments="asDisplayed" r:id="rId1"/>
  <headerFooter scaleWithDoc="0" alignWithMargins="0"/>
  <ignoredErrors>
    <ignoredError sqref="I15 B16:B19 B42:B47 E59 B60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Q109"/>
  <sheetViews>
    <sheetView topLeftCell="B6" zoomScaleNormal="100" zoomScaleSheetLayoutView="100" workbookViewId="0">
      <selection activeCell="B6" sqref="B6"/>
    </sheetView>
  </sheetViews>
  <sheetFormatPr defaultColWidth="9.140625" defaultRowHeight="12.75"/>
  <cols>
    <col min="1" max="1" width="13.5703125" style="1156" hidden="1" customWidth="1"/>
    <col min="2" max="2" width="4" style="30" bestFit="1" customWidth="1"/>
    <col min="3" max="3" width="37.5703125" style="30" customWidth="1"/>
    <col min="4" max="4" width="23.7109375" style="30" customWidth="1"/>
    <col min="5" max="5" width="13.5703125" style="30" customWidth="1"/>
    <col min="6" max="6" width="13.7109375" style="30" customWidth="1"/>
    <col min="7" max="7" width="13.5703125" style="30" customWidth="1"/>
    <col min="8" max="11" width="13.7109375" style="30" customWidth="1"/>
    <col min="12" max="12" width="13.5703125" style="30" customWidth="1"/>
    <col min="13" max="13" width="32.85546875" style="30" customWidth="1"/>
    <col min="14" max="14" width="15.140625" style="30" bestFit="1" customWidth="1"/>
    <col min="15" max="16" width="15.28515625" style="30" bestFit="1" customWidth="1"/>
    <col min="17" max="17" width="14" style="30" customWidth="1"/>
    <col min="18" max="16384" width="9.140625" style="30"/>
  </cols>
  <sheetData>
    <row r="1" spans="1:17" s="1097" customFormat="1" ht="18" hidden="1" customHeight="1">
      <c r="A1" s="1096" t="s">
        <v>1246</v>
      </c>
      <c r="B1" s="1118">
        <v>2</v>
      </c>
      <c r="C1" s="1118">
        <v>1</v>
      </c>
      <c r="D1" s="1119">
        <v>14</v>
      </c>
      <c r="E1" s="1182">
        <v>5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17" s="1097" customFormat="1" ht="18" hidden="1" customHeight="1">
      <c r="A2" s="1096" t="str">
        <f>Index!$A$2</f>
        <v>V20181222</v>
      </c>
      <c r="B2" s="1098"/>
      <c r="C2" s="1099"/>
      <c r="D2" s="1100"/>
      <c r="E2" s="1100" t="str">
        <f t="shared" ref="E2:L2" si="0">$A$1&amp;"_"&amp;E12</f>
        <v>F-14.00_010</v>
      </c>
      <c r="F2" s="1100" t="str">
        <f t="shared" si="0"/>
        <v>F-14.00_020</v>
      </c>
      <c r="G2" s="1100" t="str">
        <f t="shared" si="0"/>
        <v>F-14.00_030</v>
      </c>
      <c r="H2" s="1100" t="str">
        <f t="shared" si="0"/>
        <v>F-14.00_040</v>
      </c>
      <c r="I2" s="1100" t="str">
        <f t="shared" si="0"/>
        <v>F-14.00_050</v>
      </c>
      <c r="J2" s="1100" t="str">
        <f t="shared" si="0"/>
        <v>F-14.00_060</v>
      </c>
      <c r="K2" s="1100" t="str">
        <f t="shared" si="0"/>
        <v>F-14.00_070</v>
      </c>
      <c r="L2" s="1100" t="str">
        <f t="shared" si="0"/>
        <v>F-14.00_080</v>
      </c>
      <c r="M2" s="1100"/>
      <c r="N2" s="1101"/>
    </row>
    <row r="3" spans="1:17" s="1097" customFormat="1" ht="18" hidden="1" customHeight="1">
      <c r="A3" s="1096" t="str">
        <f>"R:A1:P"&amp;ROW(A44)+1</f>
        <v>R:A1:P45</v>
      </c>
      <c r="B3" s="1102"/>
      <c r="C3" s="1103"/>
      <c r="D3" s="1104"/>
      <c r="E3" s="1105"/>
      <c r="F3" s="1106"/>
      <c r="G3" s="1107"/>
      <c r="H3" s="1107"/>
      <c r="I3" s="1107"/>
      <c r="J3" s="1107"/>
      <c r="K3" s="1107"/>
    </row>
    <row r="4" spans="1:17" s="1097" customFormat="1" ht="18" hidden="1" customHeight="1">
      <c r="A4" s="1096"/>
      <c r="B4" s="1102"/>
      <c r="C4" s="1103"/>
      <c r="D4" s="1108"/>
      <c r="E4" s="1109"/>
      <c r="F4" s="1110"/>
      <c r="G4" s="1111">
        <f>N5</f>
        <v>0</v>
      </c>
      <c r="H4" s="1107"/>
      <c r="I4" s="1107"/>
      <c r="J4" s="1107"/>
      <c r="K4" s="1107"/>
    </row>
    <row r="5" spans="1:17" s="1097" customFormat="1" ht="18" hidden="1" customHeight="1">
      <c r="A5" s="1096"/>
      <c r="B5" s="1102"/>
      <c r="C5" s="1103"/>
      <c r="D5" s="1112"/>
      <c r="E5" s="1113"/>
      <c r="F5" s="1114"/>
      <c r="N5" s="1097">
        <f>COUNTIF(M14:P44,"&lt;&gt;0")-COUNTBLANK(M14:P44)</f>
        <v>0</v>
      </c>
    </row>
    <row r="6" spans="1:17" s="1116" customFormat="1">
      <c r="A6" s="1100" t="s">
        <v>718</v>
      </c>
      <c r="B6" s="1115"/>
    </row>
    <row r="7" spans="1:17">
      <c r="A7" s="1100" t="s">
        <v>718</v>
      </c>
      <c r="B7" s="269" t="s">
        <v>707</v>
      </c>
    </row>
    <row r="8" spans="1:17">
      <c r="A8" s="1100" t="s">
        <v>718</v>
      </c>
      <c r="C8" s="103"/>
    </row>
    <row r="9" spans="1:17" ht="41.25" customHeight="1">
      <c r="A9" s="1100" t="s">
        <v>718</v>
      </c>
      <c r="B9" s="589"/>
      <c r="C9" s="504"/>
      <c r="D9" s="366"/>
      <c r="E9" s="2022" t="s">
        <v>1831</v>
      </c>
      <c r="F9" s="2093"/>
      <c r="G9" s="2094"/>
      <c r="H9" s="2022" t="s">
        <v>1829</v>
      </c>
      <c r="I9" s="2036"/>
      <c r="J9" s="2095" t="s">
        <v>1830</v>
      </c>
      <c r="K9" s="2096"/>
      <c r="L9" s="2097"/>
    </row>
    <row r="10" spans="1:17" ht="36" customHeight="1">
      <c r="A10" s="1100" t="s">
        <v>718</v>
      </c>
      <c r="B10" s="389"/>
      <c r="C10" s="505"/>
      <c r="D10" s="398" t="s">
        <v>709</v>
      </c>
      <c r="E10" s="397" t="s">
        <v>167</v>
      </c>
      <c r="F10" s="397" t="s">
        <v>168</v>
      </c>
      <c r="G10" s="397" t="s">
        <v>169</v>
      </c>
      <c r="H10" s="450" t="s">
        <v>168</v>
      </c>
      <c r="I10" s="450" t="s">
        <v>169</v>
      </c>
      <c r="J10" s="397" t="s">
        <v>167</v>
      </c>
      <c r="K10" s="397" t="s">
        <v>168</v>
      </c>
      <c r="L10" s="506" t="s">
        <v>169</v>
      </c>
    </row>
    <row r="11" spans="1:17" ht="21">
      <c r="A11" s="1100" t="s">
        <v>718</v>
      </c>
      <c r="B11" s="389"/>
      <c r="C11" s="505"/>
      <c r="D11" s="398"/>
      <c r="E11" s="507" t="s">
        <v>710</v>
      </c>
      <c r="F11" s="507" t="s">
        <v>711</v>
      </c>
      <c r="G11" s="507" t="s">
        <v>712</v>
      </c>
      <c r="H11" s="507" t="s">
        <v>713</v>
      </c>
      <c r="I11" s="507" t="s">
        <v>714</v>
      </c>
      <c r="J11" s="507" t="s">
        <v>710</v>
      </c>
      <c r="K11" s="507" t="s">
        <v>713</v>
      </c>
      <c r="L11" s="508" t="s">
        <v>712</v>
      </c>
    </row>
    <row r="12" spans="1:17" ht="11.25" customHeight="1">
      <c r="A12" s="1100" t="s">
        <v>718</v>
      </c>
      <c r="B12" s="393"/>
      <c r="C12" s="509"/>
      <c r="D12" s="510"/>
      <c r="E12" s="448" t="s">
        <v>292</v>
      </c>
      <c r="F12" s="448" t="s">
        <v>293</v>
      </c>
      <c r="G12" s="448" t="s">
        <v>294</v>
      </c>
      <c r="H12" s="448" t="s">
        <v>295</v>
      </c>
      <c r="I12" s="448" t="s">
        <v>296</v>
      </c>
      <c r="J12" s="447" t="s">
        <v>297</v>
      </c>
      <c r="K12" s="447" t="s">
        <v>298</v>
      </c>
      <c r="L12" s="511" t="s">
        <v>299</v>
      </c>
    </row>
    <row r="13" spans="1:17" ht="11.25" customHeight="1">
      <c r="B13" s="512"/>
      <c r="C13" s="513" t="s">
        <v>170</v>
      </c>
      <c r="D13" s="514"/>
      <c r="E13" s="448"/>
      <c r="F13" s="448"/>
      <c r="G13" s="448"/>
      <c r="H13" s="448"/>
      <c r="I13" s="448"/>
      <c r="J13" s="448"/>
      <c r="K13" s="448"/>
      <c r="L13" s="515"/>
      <c r="Q13" s="993"/>
    </row>
    <row r="14" spans="1:17" s="214" customFormat="1" ht="21">
      <c r="A14" s="1156" t="str">
        <f t="shared" ref="A14:A25" si="1">$A$1&amp;"_"&amp;B14</f>
        <v>F-14.00_010</v>
      </c>
      <c r="B14" s="386" t="s">
        <v>292</v>
      </c>
      <c r="C14" s="186" t="s">
        <v>708</v>
      </c>
      <c r="D14" s="44" t="s">
        <v>1745</v>
      </c>
      <c r="E14" s="683">
        <f>SUM($E$15:$E$18)</f>
        <v>0</v>
      </c>
      <c r="F14" s="683">
        <f>SUM($F$15:$F$18)</f>
        <v>0</v>
      </c>
      <c r="G14" s="683">
        <f>SUM($G$15:$G$18)</f>
        <v>0</v>
      </c>
      <c r="H14" s="683">
        <f>SUM($H$15+$H$16+$H$17+$H$18)</f>
        <v>0</v>
      </c>
      <c r="I14" s="683">
        <f>SUM($I$15:$I$18)</f>
        <v>0</v>
      </c>
      <c r="J14" s="683">
        <f>SUM($J$15:$J$17)</f>
        <v>0</v>
      </c>
      <c r="K14" s="683">
        <f>SUM($K$15+$K$16+$K$17+$K$18)</f>
        <v>0</v>
      </c>
      <c r="L14" s="683">
        <f>SUM($L$15+$L$16+$L$17+$L$18)</f>
        <v>0</v>
      </c>
      <c r="M14" s="1836">
        <f>IF('1.1'!$F18=0,0,IF('1.1'!$F18&gt;0,IF(SUM($E14:$G14)&gt;0,0,"if {F 01.01, r050, c010} &gt; 0 then sum({F 14.00, r010, (c010-030)}) &gt; 0")))</f>
        <v>0</v>
      </c>
      <c r="N14" s="1836">
        <f>IF($E$14&gt;=0,0,"F14,c10,r10&gt;=0")</f>
        <v>0</v>
      </c>
      <c r="O14" s="1836">
        <f>IF($F$14&gt;=0,0,"F14,c20,r10&gt;=0")</f>
        <v>0</v>
      </c>
      <c r="P14" s="1836">
        <f>IF($G$14&gt;=0,0,"F14,c30,r10&gt;=0")</f>
        <v>0</v>
      </c>
    </row>
    <row r="15" spans="1:17" s="214" customFormat="1">
      <c r="A15" s="1156" t="str">
        <f t="shared" si="1"/>
        <v>F-14.00_020</v>
      </c>
      <c r="B15" s="363" t="s">
        <v>293</v>
      </c>
      <c r="C15" s="8" t="s">
        <v>121</v>
      </c>
      <c r="D15" s="14" t="s">
        <v>1746</v>
      </c>
      <c r="E15" s="969"/>
      <c r="F15" s="969"/>
      <c r="G15" s="969"/>
      <c r="H15" s="971"/>
      <c r="I15" s="971"/>
      <c r="J15" s="971"/>
      <c r="K15" s="971"/>
      <c r="L15" s="971"/>
      <c r="M15" s="1837">
        <f>IF(SUM($E$15:$G$15) = '1.1'!$F$19,0,"sum(f14,r20(c10-30)) = f1.1,r60,c10")</f>
        <v>0</v>
      </c>
      <c r="N15" s="1837">
        <f>IF($E$15&gt;=0,0,"F14,c10,r20&gt;=0")</f>
        <v>0</v>
      </c>
      <c r="O15" s="1837">
        <f>IF($F$15&gt;=0,0,"F14,c20,r20&gt;=0")</f>
        <v>0</v>
      </c>
      <c r="P15" s="1837">
        <f>IF($G$15&gt;=0,0,"F14,c30,r20&gt;=0")</f>
        <v>0</v>
      </c>
    </row>
    <row r="16" spans="1:17" s="214" customFormat="1">
      <c r="A16" s="1156" t="str">
        <f t="shared" si="1"/>
        <v>F-14.00_030</v>
      </c>
      <c r="B16" s="363" t="s">
        <v>294</v>
      </c>
      <c r="C16" s="6" t="s">
        <v>59</v>
      </c>
      <c r="D16" s="14" t="s">
        <v>1828</v>
      </c>
      <c r="E16" s="969"/>
      <c r="F16" s="969"/>
      <c r="G16" s="969"/>
      <c r="H16" s="971"/>
      <c r="I16" s="971"/>
      <c r="J16" s="971"/>
      <c r="K16" s="971"/>
      <c r="L16" s="971"/>
      <c r="M16" s="1837">
        <f>IF(SUM($E$16:$G$16) = '1.1'!$F$20,0,"sum(f14,r30(c10-30)) = f1.1r70,c10")</f>
        <v>0</v>
      </c>
      <c r="N16" s="1837">
        <f>IF($E$16&gt;=0,0,"F14,c10,r30&gt;=0")</f>
        <v>0</v>
      </c>
      <c r="O16" s="1837">
        <f>IF($F$16&gt;=0,0,"F14,c20,r30&gt;=0")</f>
        <v>0</v>
      </c>
      <c r="P16" s="1837">
        <f>IF($G$16&gt;=0,0,"F14,c30,r30&gt;=0")</f>
        <v>0</v>
      </c>
    </row>
    <row r="17" spans="1:16" s="214" customFormat="1">
      <c r="A17" s="1156" t="str">
        <f t="shared" si="1"/>
        <v>F-14.00_040</v>
      </c>
      <c r="B17" s="363" t="s">
        <v>295</v>
      </c>
      <c r="C17" s="6" t="s">
        <v>55</v>
      </c>
      <c r="D17" s="14" t="s">
        <v>595</v>
      </c>
      <c r="E17" s="969"/>
      <c r="F17" s="969"/>
      <c r="G17" s="969"/>
      <c r="H17" s="971"/>
      <c r="I17" s="971"/>
      <c r="J17" s="971"/>
      <c r="K17" s="971"/>
      <c r="L17" s="971"/>
      <c r="M17" s="1837">
        <f>IF(SUM($E$17:$G$17) = '1.1'!$F$21,0,"sum(f14,r40(c10-30)) = f1.1, r80,c10")</f>
        <v>0</v>
      </c>
      <c r="N17" s="1837">
        <f>IF($E$17&gt;=0,0,"F14,c10,r40&gt;=0")</f>
        <v>0</v>
      </c>
      <c r="O17" s="1837">
        <f>IF($F$17&gt;=0,0,"F14,c20,r40&gt;=0")</f>
        <v>0</v>
      </c>
      <c r="P17" s="1837">
        <f>IF($G$17&gt;=0,0,"F14,c30,r40&gt;=0")</f>
        <v>0</v>
      </c>
    </row>
    <row r="18" spans="1:16" s="214" customFormat="1">
      <c r="A18" s="1156" t="str">
        <f t="shared" si="1"/>
        <v>F-14.00_050</v>
      </c>
      <c r="B18" s="363" t="s">
        <v>296</v>
      </c>
      <c r="C18" s="6" t="s">
        <v>61</v>
      </c>
      <c r="D18" s="14" t="s">
        <v>1576</v>
      </c>
      <c r="E18" s="969"/>
      <c r="F18" s="969"/>
      <c r="G18" s="969"/>
      <c r="H18" s="971"/>
      <c r="I18" s="971"/>
      <c r="J18" s="970"/>
      <c r="K18" s="971"/>
      <c r="L18" s="971"/>
      <c r="M18" s="1837">
        <f>IF(SUM($E18:$G18) = '1.1'!$F$22,0,"sum(f14,r50(c10-30)) = f1.1,r90,c10")</f>
        <v>0</v>
      </c>
      <c r="N18" s="1837">
        <f>IF($E18&gt;=0,0,"F14,c10,r50&gt;=0")</f>
        <v>0</v>
      </c>
      <c r="O18" s="1837">
        <f>IF($F18&gt;=0,0,"F14,c20,r50&gt;=0")</f>
        <v>0</v>
      </c>
      <c r="P18" s="1837">
        <f>IF($G18&gt;=0,0,"F14,c30,r50&gt;=0")</f>
        <v>0</v>
      </c>
    </row>
    <row r="19" spans="1:16" s="214" customFormat="1" ht="31.5">
      <c r="A19" s="1156" t="str">
        <f t="shared" si="1"/>
        <v>F-14.00_056</v>
      </c>
      <c r="B19" s="1543" t="s">
        <v>1819</v>
      </c>
      <c r="C19" s="1743" t="s">
        <v>1679</v>
      </c>
      <c r="D19" s="14" t="s">
        <v>1820</v>
      </c>
      <c r="E19" s="684">
        <f>SUM(E$20:E$22)</f>
        <v>0</v>
      </c>
      <c r="F19" s="684">
        <f>SUM(F$20:F$22)</f>
        <v>0</v>
      </c>
      <c r="G19" s="684">
        <f>SUM(G$20:G$22)</f>
        <v>0</v>
      </c>
      <c r="H19" s="684">
        <f>SUM(H$20:H$22)</f>
        <v>0</v>
      </c>
      <c r="I19" s="684">
        <f>SUM(I$20:I$22)</f>
        <v>0</v>
      </c>
      <c r="J19" s="684">
        <f>SUM(J$20+J$21)</f>
        <v>0</v>
      </c>
      <c r="K19" s="684">
        <f>SUM(K$20:K$22)</f>
        <v>0</v>
      </c>
      <c r="L19" s="684">
        <f>SUM(L$20:L$22)</f>
        <v>0</v>
      </c>
      <c r="M19" s="1836">
        <f>IF(SUM($E19:$G19) = '1.1'!F23,0,"sum({F 14.00, r056, (c010-030)}) = {F 01.01, r096, c010}")</f>
        <v>0</v>
      </c>
      <c r="N19" s="1836">
        <f>IF($E19&gt;=0,0,"F14,c10,r56&gt;=0")</f>
        <v>0</v>
      </c>
      <c r="O19" s="1836">
        <f t="shared" ref="O19" si="2">IF($F19&gt;=0,0,"F14,c20,r50&gt;=0")</f>
        <v>0</v>
      </c>
      <c r="P19" s="1836">
        <f>IF($G19&gt;=0,0,"F14,c30,r56&gt;=0")</f>
        <v>0</v>
      </c>
    </row>
    <row r="20" spans="1:16" s="214" customFormat="1">
      <c r="A20" s="1156" t="str">
        <f t="shared" si="1"/>
        <v>F-14.00_057</v>
      </c>
      <c r="B20" s="1543" t="s">
        <v>1821</v>
      </c>
      <c r="C20" s="8" t="s">
        <v>63</v>
      </c>
      <c r="D20" s="14" t="s">
        <v>60</v>
      </c>
      <c r="E20" s="969"/>
      <c r="F20" s="969"/>
      <c r="G20" s="969"/>
      <c r="H20" s="971"/>
      <c r="I20" s="971"/>
      <c r="J20" s="971"/>
      <c r="K20" s="971"/>
      <c r="L20" s="971"/>
      <c r="M20" s="1836">
        <f>IF(SUM($E20:$G20) = '1.1'!F24,0,"sum({F 14.00, r057, (c010-030)}) = {F 01.01, r097, c010}")</f>
        <v>0</v>
      </c>
      <c r="N20" s="1837">
        <f>IF($E20&gt;=0,0,"F14,c10,r57&gt;=0")</f>
        <v>0</v>
      </c>
      <c r="O20" s="1837">
        <f>IF($F20&gt;=0,0,"F14,c20,r57&gt;=0")</f>
        <v>0</v>
      </c>
      <c r="P20" s="1837">
        <f>IF($G20&gt;=0,0,"F14,c30,r57&gt;=0")</f>
        <v>0</v>
      </c>
    </row>
    <row r="21" spans="1:16" s="214" customFormat="1">
      <c r="A21" s="1156" t="str">
        <f t="shared" si="1"/>
        <v>F-14.00_058</v>
      </c>
      <c r="B21" s="1543" t="s">
        <v>1822</v>
      </c>
      <c r="C21" s="8" t="s">
        <v>55</v>
      </c>
      <c r="D21" s="14" t="s">
        <v>595</v>
      </c>
      <c r="E21" s="969"/>
      <c r="F21" s="969"/>
      <c r="G21" s="969"/>
      <c r="H21" s="971"/>
      <c r="I21" s="971"/>
      <c r="J21" s="971"/>
      <c r="K21" s="971"/>
      <c r="L21" s="971"/>
      <c r="M21" s="1836">
        <f>IF(SUM($E21:$G21) = '1.1'!F25,0,"sum({F 14.00, r058, (c010-030)}) = {F 01.01, r098, c010}")</f>
        <v>0</v>
      </c>
      <c r="N21" s="1837">
        <f>IF($E21&gt;=0,0,"F14,c10,r58&gt;=0")</f>
        <v>0</v>
      </c>
      <c r="O21" s="1837">
        <f>IF($F21&gt;=0,0,"F14,c20,r58&gt;=0")</f>
        <v>0</v>
      </c>
      <c r="P21" s="1837">
        <f>IF($G21&gt;=0,0,"F14,c30,r58&gt;=0")</f>
        <v>0</v>
      </c>
    </row>
    <row r="22" spans="1:16" s="214" customFormat="1">
      <c r="A22" s="1156" t="str">
        <f t="shared" si="1"/>
        <v>F-14.00_059</v>
      </c>
      <c r="B22" s="1543" t="s">
        <v>1823</v>
      </c>
      <c r="C22" s="8" t="s">
        <v>61</v>
      </c>
      <c r="D22" s="14" t="s">
        <v>1576</v>
      </c>
      <c r="E22" s="969"/>
      <c r="F22" s="969"/>
      <c r="G22" s="969"/>
      <c r="H22" s="971"/>
      <c r="I22" s="971"/>
      <c r="J22" s="970"/>
      <c r="K22" s="971"/>
      <c r="L22" s="971"/>
      <c r="M22" s="1836">
        <f>IF(SUM($E22:$G22) = '1.1'!F26,0,"sum({F 14.00, r059, (c010-030)}) = {F 01.01, r099, c010}")</f>
        <v>0</v>
      </c>
      <c r="N22" s="1837">
        <f>IF($E22&gt;=0,0,"F14,c10,r59&gt;=0")</f>
        <v>0</v>
      </c>
      <c r="O22" s="1837">
        <f>IF($F22&gt;=0,0,"F14,c20,r59&gt;=0")</f>
        <v>0</v>
      </c>
      <c r="P22" s="1837">
        <f>IF($G22&gt;=0,0,"F14,c30,r59&gt;=0")</f>
        <v>0</v>
      </c>
    </row>
    <row r="23" spans="1:16" s="214" customFormat="1" ht="21">
      <c r="A23" s="1156" t="str">
        <f t="shared" si="1"/>
        <v>F-14.00_060</v>
      </c>
      <c r="B23" s="361" t="s">
        <v>297</v>
      </c>
      <c r="C23" s="1506" t="s">
        <v>62</v>
      </c>
      <c r="D23" s="44" t="s">
        <v>1580</v>
      </c>
      <c r="E23" s="684">
        <f>SUM(E$24:E$25)</f>
        <v>0</v>
      </c>
      <c r="F23" s="684">
        <f t="shared" ref="F23:I23" si="3">SUM(F$24:F$25)</f>
        <v>0</v>
      </c>
      <c r="G23" s="684">
        <f t="shared" si="3"/>
        <v>0</v>
      </c>
      <c r="H23" s="684">
        <f t="shared" si="3"/>
        <v>0</v>
      </c>
      <c r="I23" s="684">
        <f t="shared" si="3"/>
        <v>0</v>
      </c>
      <c r="J23" s="684">
        <f>SUM(J$24)</f>
        <v>0</v>
      </c>
      <c r="K23" s="684">
        <f>SUM(K$24:K$25)</f>
        <v>0</v>
      </c>
      <c r="L23" s="684">
        <f>SUM(L$24:L$25)</f>
        <v>0</v>
      </c>
      <c r="M23" s="1836">
        <f>IF('1.1'!$F27=0,0,IF('1.1'!$F27&gt;0,IF(SUM($E23:$G23)&gt;0,0,"if {F 01.01, r100, c010} &gt; 0 then sum({F 14.00, r060, (c010-030)}) &gt; 0")))</f>
        <v>0</v>
      </c>
      <c r="N23" s="1837">
        <f>IF($E$23&gt;=0,0,"F14,c10,r60&gt;=0")</f>
        <v>0</v>
      </c>
      <c r="O23" s="1837">
        <f>IF($F$23&gt;=0,0,"F14,c20,r60&gt;=0")</f>
        <v>0</v>
      </c>
      <c r="P23" s="1837">
        <f>IF($G$23&gt;=0,0,"F14,c30,r60&gt;=0")</f>
        <v>0</v>
      </c>
    </row>
    <row r="24" spans="1:16" s="214" customFormat="1">
      <c r="A24" s="1156" t="str">
        <f t="shared" si="1"/>
        <v>F-14.00_080</v>
      </c>
      <c r="B24" s="361" t="s">
        <v>299</v>
      </c>
      <c r="C24" s="8" t="s">
        <v>55</v>
      </c>
      <c r="D24" s="14" t="s">
        <v>595</v>
      </c>
      <c r="E24" s="969"/>
      <c r="F24" s="969"/>
      <c r="G24" s="969"/>
      <c r="H24" s="971"/>
      <c r="I24" s="971"/>
      <c r="J24" s="971"/>
      <c r="K24" s="971"/>
      <c r="L24" s="971"/>
      <c r="M24" s="1837">
        <f>IF(SUM($E$24:$G$24) = '1.1'!$F$28,0,"sum(f14,r80(c10-30)) = f1.1,r120,c10")</f>
        <v>0</v>
      </c>
      <c r="N24" s="1837">
        <f>IF($E$24&gt;=0,0,"F14,c10,r80&gt;=0")</f>
        <v>0</v>
      </c>
      <c r="O24" s="1837">
        <f>IF($F$24&gt;=0,0,"F14,c20,r80&gt;=0")</f>
        <v>0</v>
      </c>
      <c r="P24" s="1837">
        <f>IF($G$24&gt;=0,0,"F14,c30,r80&gt;=0")</f>
        <v>0</v>
      </c>
    </row>
    <row r="25" spans="1:16" s="214" customFormat="1">
      <c r="A25" s="1156" t="str">
        <f t="shared" si="1"/>
        <v>F-14.00_090</v>
      </c>
      <c r="B25" s="361" t="s">
        <v>300</v>
      </c>
      <c r="C25" s="8" t="s">
        <v>61</v>
      </c>
      <c r="D25" s="14" t="s">
        <v>1576</v>
      </c>
      <c r="E25" s="969"/>
      <c r="F25" s="969"/>
      <c r="G25" s="969"/>
      <c r="H25" s="971"/>
      <c r="I25" s="971"/>
      <c r="J25" s="681"/>
      <c r="K25" s="971"/>
      <c r="L25" s="971"/>
      <c r="M25" s="1837">
        <f>IF(SUM($E$25:$G$25) = '1.1'!$F$29,0,"sum(f14,r90(c10-30)) = f1.1,r130,c10")</f>
        <v>0</v>
      </c>
      <c r="N25" s="1837">
        <f>IF($E$25&gt;=0,0,"F14,c10,r90&gt;=0")</f>
        <v>0</v>
      </c>
      <c r="O25" s="1837">
        <f>IF($F$25&gt;=0,0,"F14,c20,r90&gt;=0")</f>
        <v>0</v>
      </c>
      <c r="P25" s="1837">
        <f>IF($G$25&gt;=0,0,"F14,c30,r90&gt;=0")</f>
        <v>0</v>
      </c>
    </row>
    <row r="26" spans="1:16" s="214" customFormat="1" ht="21">
      <c r="A26" s="1156" t="str">
        <f>$A$1&amp;"_"&amp;B26</f>
        <v>F-14.00_101</v>
      </c>
      <c r="B26" s="361">
        <v>101</v>
      </c>
      <c r="C26" s="1506" t="s">
        <v>1683</v>
      </c>
      <c r="D26" s="14" t="s">
        <v>1824</v>
      </c>
      <c r="E26" s="684">
        <f>SUM(E$27:E$29)</f>
        <v>0</v>
      </c>
      <c r="F26" s="684">
        <f>SUM(F$27:F$29)</f>
        <v>0</v>
      </c>
      <c r="G26" s="684">
        <f t="shared" ref="G26:L26" si="4">SUM(G$27:G$29)</f>
        <v>0</v>
      </c>
      <c r="H26" s="684">
        <f t="shared" si="4"/>
        <v>0</v>
      </c>
      <c r="I26" s="684">
        <f t="shared" si="4"/>
        <v>0</v>
      </c>
      <c r="J26" s="684">
        <f t="shared" si="4"/>
        <v>0</v>
      </c>
      <c r="K26" s="684">
        <f t="shared" si="4"/>
        <v>0</v>
      </c>
      <c r="L26" s="684">
        <f t="shared" si="4"/>
        <v>0</v>
      </c>
      <c r="M26" s="1836">
        <f>IF(SUM($E26:$G26) = '1.1'!F30,0,"sum({F 14.00, r101, (c010-030)}) = {F 01.01, r141, c010}")</f>
        <v>0</v>
      </c>
      <c r="N26" s="1836">
        <f>IF($E26&gt;=0,0,"F14,c10,r101&gt;=0")</f>
        <v>0</v>
      </c>
      <c r="O26" s="1836">
        <f>IF($F26&gt;=0,0,"F14,c20,r101&gt;=0")</f>
        <v>0</v>
      </c>
      <c r="P26" s="1836">
        <f>IF($G26&gt;=0,0,"F14,c30,r101&gt;=0")</f>
        <v>0</v>
      </c>
    </row>
    <row r="27" spans="1:16" s="214" customFormat="1">
      <c r="A27" s="1156" t="str">
        <f>$A$1&amp;"_"&amp;B27</f>
        <v>F-14.00_102</v>
      </c>
      <c r="B27" s="361">
        <v>102</v>
      </c>
      <c r="C27" s="8" t="s">
        <v>59</v>
      </c>
      <c r="D27" s="14" t="s">
        <v>60</v>
      </c>
      <c r="E27" s="1544"/>
      <c r="F27" s="1544"/>
      <c r="G27" s="1544"/>
      <c r="H27" s="971"/>
      <c r="I27" s="971"/>
      <c r="J27" s="1545"/>
      <c r="K27" s="1545"/>
      <c r="L27" s="1545"/>
      <c r="M27" s="1836">
        <f>IF(SUM($E27:$G27) = '1.1'!F31,0,"sum({F 14.00, r102, (c010-030)}) = {F 01.01, r142, c010}")</f>
        <v>0</v>
      </c>
      <c r="N27" s="1837">
        <f>IF($E27&gt;=0,0,"F14,c10,r102&gt;=0")</f>
        <v>0</v>
      </c>
      <c r="O27" s="1837">
        <f>IF($F27&gt;=0,0,"F14,c20,r102&gt;=0")</f>
        <v>0</v>
      </c>
      <c r="P27" s="1837">
        <f>IF($G27&gt;=0,0,"F14,c30,r102&gt;=0")</f>
        <v>0</v>
      </c>
    </row>
    <row r="28" spans="1:16" s="214" customFormat="1">
      <c r="A28" s="1156" t="str">
        <f>$A$1&amp;"_"&amp;B28</f>
        <v>F-14.00_103</v>
      </c>
      <c r="B28" s="361">
        <v>103</v>
      </c>
      <c r="C28" s="8" t="s">
        <v>55</v>
      </c>
      <c r="D28" s="14" t="s">
        <v>595</v>
      </c>
      <c r="E28" s="1544"/>
      <c r="F28" s="1544"/>
      <c r="G28" s="1544"/>
      <c r="H28" s="971"/>
      <c r="I28" s="971"/>
      <c r="J28" s="1545"/>
      <c r="K28" s="1545"/>
      <c r="L28" s="1545"/>
      <c r="M28" s="1836">
        <f>IF(SUM($E28:$G28) = '1.1'!F32,0,"sum({F 14.00, r103, (c010-030)}) = {F 01.01, r143, c010}")</f>
        <v>0</v>
      </c>
      <c r="N28" s="1837">
        <f>IF($E28&gt;=0,0,"F14,c10,r103&gt;=0")</f>
        <v>0</v>
      </c>
      <c r="O28" s="1837">
        <f>IF($F28&gt;=0,0,"F14,c20,r103&gt;=0")</f>
        <v>0</v>
      </c>
      <c r="P28" s="1837">
        <f>IF($G28&gt;=0,0,"F14,c30,r103&gt;=0")</f>
        <v>0</v>
      </c>
    </row>
    <row r="29" spans="1:16" s="214" customFormat="1">
      <c r="A29" s="1156" t="str">
        <f>$A$1&amp;"_"&amp;B29</f>
        <v>F-14.00_104</v>
      </c>
      <c r="B29" s="361">
        <v>104</v>
      </c>
      <c r="C29" s="8" t="s">
        <v>61</v>
      </c>
      <c r="D29" s="14" t="s">
        <v>1576</v>
      </c>
      <c r="E29" s="1544"/>
      <c r="F29" s="1544"/>
      <c r="G29" s="1544"/>
      <c r="H29" s="971"/>
      <c r="I29" s="971"/>
      <c r="J29" s="1545"/>
      <c r="K29" s="1545"/>
      <c r="L29" s="1545"/>
      <c r="M29" s="1836">
        <f>IF(SUM($E29:$G29) = '1.1'!F33,0,"sum({F 14.00, r104, (c010-030)}) = {F 01.01, r144, c010}")</f>
        <v>0</v>
      </c>
      <c r="N29" s="1837">
        <f>IF($E29&gt;=0,0,"F14,c10,r104&gt;=0")</f>
        <v>0</v>
      </c>
      <c r="O29" s="1837">
        <f>IF($F29&gt;=0,0,"F14,c20,r104&gt;=0")</f>
        <v>0</v>
      </c>
      <c r="P29" s="1837">
        <f>IF($G29&gt;=0,0,"F14,c30,r104&gt;=0")</f>
        <v>0</v>
      </c>
    </row>
    <row r="30" spans="1:16" s="214" customFormat="1" ht="21">
      <c r="A30" s="1156" t="str">
        <f>$A$1&amp;"_"&amp;B30</f>
        <v>F-14.00_140</v>
      </c>
      <c r="B30" s="362" t="s">
        <v>305</v>
      </c>
      <c r="C30" s="230" t="s">
        <v>171</v>
      </c>
      <c r="D30" s="14" t="s">
        <v>1673</v>
      </c>
      <c r="E30" s="921"/>
      <c r="F30" s="921"/>
      <c r="G30" s="921"/>
      <c r="H30" s="1957"/>
      <c r="I30" s="1957"/>
      <c r="J30" s="1957"/>
      <c r="K30" s="1957"/>
      <c r="L30" s="1957"/>
      <c r="M30" s="1836">
        <f>IF('1.1'!$F37=0,0,IF('1.1'!$F37&gt;0,IF(SUM($E30:$G30)&gt;0,0,"if {F 01.01, r240, c010} &gt; 0 then sum({F 14.00, r140, (c010-030)}) &gt; 0")))</f>
        <v>0</v>
      </c>
      <c r="N30" s="1836">
        <f>IF($E$30&gt;=0,0,"F14,c10,r140&gt;=0")</f>
        <v>0</v>
      </c>
      <c r="O30" s="1836">
        <f>IF($F$30&gt;=0,0,"F14,c20,r140&gt;=0")</f>
        <v>0</v>
      </c>
      <c r="P30" s="1836">
        <f>IF($G$30&gt;=0,0,"F14,c30,r140&gt;=0")</f>
        <v>0</v>
      </c>
    </row>
    <row r="31" spans="1:16" s="214" customFormat="1">
      <c r="A31" s="1100" t="s">
        <v>718</v>
      </c>
      <c r="B31" s="516"/>
      <c r="C31" s="517" t="s">
        <v>172</v>
      </c>
      <c r="D31" s="518"/>
      <c r="E31" s="817"/>
      <c r="F31" s="817"/>
      <c r="G31" s="817"/>
      <c r="H31" s="817"/>
      <c r="I31" s="817"/>
      <c r="J31" s="817"/>
      <c r="K31" s="817"/>
      <c r="L31" s="817"/>
      <c r="M31" s="1837"/>
      <c r="N31" s="1837"/>
      <c r="O31" s="1837"/>
      <c r="P31" s="1837"/>
    </row>
    <row r="32" spans="1:16" s="214" customFormat="1" ht="21">
      <c r="A32" s="1156" t="str">
        <f t="shared" ref="A32:A42" si="5">$A$1&amp;"_"&amp;B32</f>
        <v>F-14.00_150</v>
      </c>
      <c r="B32" s="386" t="s">
        <v>306</v>
      </c>
      <c r="C32" s="106" t="s">
        <v>76</v>
      </c>
      <c r="D32" s="81" t="s">
        <v>1825</v>
      </c>
      <c r="E32" s="683">
        <f>SUM($E$33:$E$37)</f>
        <v>0</v>
      </c>
      <c r="F32" s="683">
        <f>SUM($F$33:$F$37)</f>
        <v>0</v>
      </c>
      <c r="G32" s="683">
        <f>SUM($G$33:$G$37)</f>
        <v>0</v>
      </c>
      <c r="H32" s="683">
        <f>SUM($H$33:$H$37)</f>
        <v>0</v>
      </c>
      <c r="I32" s="683">
        <f>SUM($I$33:$I$37)</f>
        <v>0</v>
      </c>
      <c r="J32" s="683">
        <f>SUM($J$33+$J$34+$J$36)</f>
        <v>0</v>
      </c>
      <c r="K32" s="683">
        <f>SUM($K$33+$K$34+$K$35+$K$36+$K$37)</f>
        <v>0</v>
      </c>
      <c r="L32" s="683">
        <f>SUM($L$33+$L$34+$L$35+$L$36+$L$37)</f>
        <v>0</v>
      </c>
      <c r="M32" s="1836">
        <f>IF('1.2'!$F14=0,0,IF('1.2'!$F14&gt;0,IF(SUM($E32:$G32)&gt;0,0,"if {F 01.02, r010, c010} &gt; 0 then sum({F 14.00, r150, (c010-030)}) &gt; 0")))</f>
        <v>0</v>
      </c>
      <c r="N32" s="1836">
        <f>IF($E$32&gt;=0,0,"F14,c10,r150&gt;=0")</f>
        <v>0</v>
      </c>
      <c r="O32" s="1836">
        <f>IF($F$32&gt;=0,0,"F14,c20,r150&gt;=0")</f>
        <v>0</v>
      </c>
      <c r="P32" s="1836">
        <f>IF($G$32&gt;=0,0,"F14,c30,r150&gt;=0")</f>
        <v>0</v>
      </c>
    </row>
    <row r="33" spans="1:16" s="214" customFormat="1">
      <c r="A33" s="1156" t="str">
        <f t="shared" si="5"/>
        <v>F-14.00_160</v>
      </c>
      <c r="B33" s="363" t="s">
        <v>307</v>
      </c>
      <c r="C33" s="5" t="s">
        <v>121</v>
      </c>
      <c r="D33" s="44" t="s">
        <v>1826</v>
      </c>
      <c r="E33" s="969"/>
      <c r="F33" s="969"/>
      <c r="G33" s="969"/>
      <c r="H33" s="971"/>
      <c r="I33" s="971"/>
      <c r="J33" s="971"/>
      <c r="K33" s="971"/>
      <c r="L33" s="971"/>
      <c r="M33" s="1837">
        <f>IF(SUM($E$33:$G$33) = '1.2'!$F$15,0,"sum(f14,r160,c10-30) = f1.2,r20,c10")</f>
        <v>0</v>
      </c>
      <c r="N33" s="1837">
        <f>IF($E$33&gt;=0,0,"F14,c10,r160&gt;=0")</f>
        <v>0</v>
      </c>
      <c r="O33" s="1837">
        <f>IF($F$33&gt;=0,0,"F14,c20,r160&gt;=0")</f>
        <v>0</v>
      </c>
      <c r="P33" s="1837">
        <f>IF($G$33&gt;=0,0,"F14,c30,r160&gt;=0")</f>
        <v>0</v>
      </c>
    </row>
    <row r="34" spans="1:16" s="214" customFormat="1">
      <c r="A34" s="1156" t="str">
        <f t="shared" si="5"/>
        <v>F-14.00_170</v>
      </c>
      <c r="B34" s="386" t="s">
        <v>308</v>
      </c>
      <c r="C34" s="5" t="s">
        <v>77</v>
      </c>
      <c r="D34" s="44" t="s">
        <v>1774</v>
      </c>
      <c r="E34" s="969"/>
      <c r="F34" s="969"/>
      <c r="G34" s="969"/>
      <c r="H34" s="971"/>
      <c r="I34" s="971"/>
      <c r="J34" s="971"/>
      <c r="K34" s="971"/>
      <c r="L34" s="971"/>
      <c r="M34" s="1837">
        <f>IF(SUM($E$34:$G$34) = '1.2'!$F$16,0,"sum(f14,r170,c10-30) = f1.2,r30,c10")</f>
        <v>0</v>
      </c>
      <c r="N34" s="1837">
        <f>IF($E$34&gt;=0,0,"F14,c10,r170&gt;=0")</f>
        <v>0</v>
      </c>
      <c r="O34" s="1837">
        <f>IF($F$34&gt;=0,0,"F14,c20,r170&gt;=0")</f>
        <v>0</v>
      </c>
      <c r="P34" s="1837">
        <f>IF($G$34&gt;=0,0,"F14,c30,r170&gt;=0")</f>
        <v>0</v>
      </c>
    </row>
    <row r="35" spans="1:16" s="214" customFormat="1" ht="21">
      <c r="A35" s="1156" t="str">
        <f t="shared" si="5"/>
        <v>F-14.00_180</v>
      </c>
      <c r="B35" s="386">
        <v>180</v>
      </c>
      <c r="C35" s="5" t="s">
        <v>15</v>
      </c>
      <c r="D35" s="14" t="s">
        <v>1568</v>
      </c>
      <c r="E35" s="968"/>
      <c r="F35" s="968"/>
      <c r="G35" s="968"/>
      <c r="H35" s="972"/>
      <c r="I35" s="972"/>
      <c r="J35" s="681"/>
      <c r="K35" s="972"/>
      <c r="L35" s="972"/>
      <c r="M35" s="1837">
        <f>IF(SUM($E$35:$G$35) = '1.2'!$F$17,0,"sum(f14,r180,c10-30) = f1.2,r40,c10")</f>
        <v>0</v>
      </c>
      <c r="N35" s="1837">
        <f>IF($E$35&gt;=0,0,"F14,c10,r180&gt;=0")</f>
        <v>0</v>
      </c>
      <c r="O35" s="1837">
        <f>IF($F$35&gt;=0,0,"F14,c20,r180&gt;=0")</f>
        <v>0</v>
      </c>
      <c r="P35" s="1837">
        <f>IF($G$35&gt;=0,0,"F14,c30,r180&gt;=0")</f>
        <v>0</v>
      </c>
    </row>
    <row r="36" spans="1:16" s="214" customFormat="1">
      <c r="A36" s="1156" t="str">
        <f t="shared" si="5"/>
        <v>F-14.00_190</v>
      </c>
      <c r="B36" s="386">
        <v>190</v>
      </c>
      <c r="C36" s="5" t="s">
        <v>32</v>
      </c>
      <c r="D36" s="44" t="s">
        <v>1569</v>
      </c>
      <c r="E36" s="968"/>
      <c r="F36" s="968"/>
      <c r="G36" s="968"/>
      <c r="H36" s="972"/>
      <c r="I36" s="972"/>
      <c r="J36" s="972"/>
      <c r="K36" s="972"/>
      <c r="L36" s="972"/>
      <c r="M36" s="1837">
        <f>IF(SUM($E$36:$G$36) = '1.2'!$F$18,0,"sum(f14,r190,c10-30) = f1.2,r50,c10")</f>
        <v>0</v>
      </c>
      <c r="N36" s="1837">
        <f>IF($E$36&gt;=0,0,"F14,c10,r190&gt;=0")</f>
        <v>0</v>
      </c>
      <c r="O36" s="1837">
        <f>IF($F$36&gt;=0,0,"F14,c20,r190&gt;=0")</f>
        <v>0</v>
      </c>
      <c r="P36" s="1837">
        <f>IF($G$36&gt;=0,0,"F14,c30,r190&gt;=0")</f>
        <v>0</v>
      </c>
    </row>
    <row r="37" spans="1:16" s="214" customFormat="1">
      <c r="A37" s="1156" t="str">
        <f t="shared" si="5"/>
        <v>F-14.00_200</v>
      </c>
      <c r="B37" s="386">
        <v>200</v>
      </c>
      <c r="C37" s="5" t="s">
        <v>48</v>
      </c>
      <c r="D37" s="44" t="s">
        <v>1570</v>
      </c>
      <c r="E37" s="968"/>
      <c r="F37" s="968"/>
      <c r="G37" s="968"/>
      <c r="H37" s="972"/>
      <c r="I37" s="972"/>
      <c r="J37" s="681"/>
      <c r="K37" s="972"/>
      <c r="L37" s="972"/>
      <c r="M37" s="1837">
        <f>IF(SUM($E$37:$G$37) = '1.2'!$F$19,0,"sum(f14,r200,c10-30) = f1.2,r60,c10")</f>
        <v>0</v>
      </c>
      <c r="N37" s="1837">
        <f>IF($E$37&gt;=0,0,"F14,c10,r200&gt;=0")</f>
        <v>0</v>
      </c>
      <c r="O37" s="1837">
        <f>IF($F$37&gt;=0,0,"F14,c20,r200&gt;=0")</f>
        <v>0</v>
      </c>
      <c r="P37" s="1837">
        <f>IF($G$37&gt;=0,0,"F14,c30,r200&gt;=0")</f>
        <v>0</v>
      </c>
    </row>
    <row r="38" spans="1:16" s="196" customFormat="1" ht="21">
      <c r="A38" s="1156" t="str">
        <f t="shared" si="5"/>
        <v>F-14.00_210</v>
      </c>
      <c r="B38" s="386">
        <v>210</v>
      </c>
      <c r="C38" s="4" t="s">
        <v>173</v>
      </c>
      <c r="D38" s="44" t="s">
        <v>1827</v>
      </c>
      <c r="E38" s="684">
        <f>SUM($E$39:$E$41)</f>
        <v>0</v>
      </c>
      <c r="F38" s="684">
        <f>SUM($F$39:$F$41)</f>
        <v>0</v>
      </c>
      <c r="G38" s="684">
        <f>SUM($G$39:$G$41)</f>
        <v>0</v>
      </c>
      <c r="H38" s="684">
        <f>SUM($H$39:$H$41)</f>
        <v>0</v>
      </c>
      <c r="I38" s="684">
        <f>SUM($I$39:$I$41)</f>
        <v>0</v>
      </c>
      <c r="J38" s="684">
        <f>$J$40</f>
        <v>0</v>
      </c>
      <c r="K38" s="684">
        <f>SUM($K$39+$K$40+$K$41)</f>
        <v>0</v>
      </c>
      <c r="L38" s="684">
        <f>SUM($L$39+$L$40+$L$41)</f>
        <v>0</v>
      </c>
      <c r="M38" s="1836">
        <f>IF('1.2'!$F20=0,0,IF('1.2'!$F20&gt;0,IF(SUM($E38:$G38)&gt;0,0,"if {F 01.02, r070, c010} &gt; 0 then sum({F 14.00, r210, (c010-030)}) &gt; 0")))</f>
        <v>0</v>
      </c>
      <c r="N38" s="1836">
        <f>IF($E$38&gt;=0,0,"F14,c10,r210&gt;=0")</f>
        <v>0</v>
      </c>
      <c r="O38" s="1836">
        <f>IF($F$38&gt;=0,0,"F14,c20,r210&gt;=0")</f>
        <v>0</v>
      </c>
      <c r="P38" s="1836">
        <f>IF($G$38&gt;=0,0,"F14,c30,r210&gt;=0")</f>
        <v>0</v>
      </c>
    </row>
    <row r="39" spans="1:16" s="214" customFormat="1" ht="21">
      <c r="A39" s="1156" t="str">
        <f t="shared" si="5"/>
        <v>F-14.00_220</v>
      </c>
      <c r="B39" s="386">
        <v>220</v>
      </c>
      <c r="C39" s="5" t="s">
        <v>15</v>
      </c>
      <c r="D39" s="14" t="s">
        <v>1568</v>
      </c>
      <c r="E39" s="968"/>
      <c r="F39" s="968"/>
      <c r="G39" s="968"/>
      <c r="H39" s="972"/>
      <c r="I39" s="972"/>
      <c r="J39" s="681"/>
      <c r="K39" s="972"/>
      <c r="L39" s="972"/>
      <c r="M39" s="1837">
        <f>IF(SUM($E$39:$G$39) = '1.2'!$F$21,0,"sum(f14,r220,c10-30) = f1.2,r80,c10")</f>
        <v>0</v>
      </c>
      <c r="N39" s="1837">
        <f>IF($E$39&gt;=0,0,"F14,c10,r220&gt;=0")</f>
        <v>0</v>
      </c>
      <c r="O39" s="1837">
        <f>IF($F$39&gt;=0,0,"F14,c20,r220&gt;=0")</f>
        <v>0</v>
      </c>
      <c r="P39" s="1837">
        <f>IF($G$39&gt;=0,0,"F14,c30,r220&gt;=0")</f>
        <v>0</v>
      </c>
    </row>
    <row r="40" spans="1:16" s="214" customFormat="1">
      <c r="A40" s="1156" t="str">
        <f t="shared" si="5"/>
        <v>F-14.00_230</v>
      </c>
      <c r="B40" s="386">
        <v>230</v>
      </c>
      <c r="C40" s="5" t="s">
        <v>32</v>
      </c>
      <c r="D40" s="44" t="s">
        <v>1569</v>
      </c>
      <c r="E40" s="968"/>
      <c r="F40" s="968"/>
      <c r="G40" s="968"/>
      <c r="H40" s="972"/>
      <c r="I40" s="972"/>
      <c r="J40" s="972"/>
      <c r="K40" s="972"/>
      <c r="L40" s="972"/>
      <c r="M40" s="1837">
        <f>IF(SUM($E$40:$G$40) = '1.2'!$F$22,0,"sum(f14,r230,c10-30) = f1.2,r90,c10")</f>
        <v>0</v>
      </c>
      <c r="N40" s="1837">
        <f>IF($E$40&gt;=0,0,"F14,c10,r230&gt;=0")</f>
        <v>0</v>
      </c>
      <c r="O40" s="1837">
        <f>IF($F$40&gt;=0,0,"F14,c20,r230&gt;=0")</f>
        <v>0</v>
      </c>
      <c r="P40" s="1837">
        <f>IF($G$40&gt;=0,0,"F14,c30,r230&gt;=0")</f>
        <v>0</v>
      </c>
    </row>
    <row r="41" spans="1:16" s="214" customFormat="1">
      <c r="A41" s="1156" t="str">
        <f t="shared" si="5"/>
        <v>F-14.00_240</v>
      </c>
      <c r="B41" s="386">
        <v>240</v>
      </c>
      <c r="C41" s="5" t="s">
        <v>48</v>
      </c>
      <c r="D41" s="44" t="s">
        <v>1570</v>
      </c>
      <c r="E41" s="968"/>
      <c r="F41" s="968"/>
      <c r="G41" s="968"/>
      <c r="H41" s="972"/>
      <c r="I41" s="972"/>
      <c r="J41" s="681"/>
      <c r="K41" s="972"/>
      <c r="L41" s="972"/>
      <c r="M41" s="1837">
        <f>IF(SUM($E$41:$G$41) = '1.2'!$F$23,0,"sum(f14,r240,c10-30) = f1.2,r100,c10")</f>
        <v>0</v>
      </c>
      <c r="N41" s="1837">
        <f>IF($E$41&gt;=0,0,"F14,c10,r240&gt;=0")</f>
        <v>0</v>
      </c>
      <c r="O41" s="1837">
        <f>IF($F$41&gt;=0,0,"F14,c20,r240&gt;=0")</f>
        <v>0</v>
      </c>
      <c r="P41" s="1837">
        <f>IF($G$41&gt;=0,0,"F14,c30,r240&gt;=0")</f>
        <v>0</v>
      </c>
    </row>
    <row r="42" spans="1:16" s="214" customFormat="1" ht="21">
      <c r="A42" s="1156" t="str">
        <f t="shared" si="5"/>
        <v>F-14.00_250</v>
      </c>
      <c r="B42" s="378">
        <v>250</v>
      </c>
      <c r="C42" s="230" t="s">
        <v>5</v>
      </c>
      <c r="D42" s="43" t="s">
        <v>1687</v>
      </c>
      <c r="E42" s="921"/>
      <c r="F42" s="921"/>
      <c r="G42" s="921"/>
      <c r="H42" s="973"/>
      <c r="I42" s="973"/>
      <c r="J42" s="973"/>
      <c r="K42" s="973"/>
      <c r="L42" s="973"/>
      <c r="M42" s="1836">
        <f>IF('1.2'!$F28=0,0,IF('1.2'!$F28&gt;0,IF(SUM($E42:$G42)&gt;0,0,"if {F 01.02, r150, c010} &gt; 0 then sum({F 14.00, r250, (c010-030)}) &gt; 0")))</f>
        <v>0</v>
      </c>
      <c r="N42" s="1836">
        <f>IF($E$42&gt;=0,0,"F14,c10,r250&gt;=0")</f>
        <v>0</v>
      </c>
      <c r="O42" s="1836">
        <f>IF($F$42&gt;=0,0,"F14,c20,r250&gt;=0")</f>
        <v>0</v>
      </c>
      <c r="P42" s="1836">
        <f>IF($G$42&gt;=0,0,"F14,c30,r250&gt;=0")</f>
        <v>0</v>
      </c>
    </row>
    <row r="43" spans="1:16">
      <c r="A43" s="1100" t="s">
        <v>718</v>
      </c>
      <c r="B43" s="24"/>
      <c r="C43" s="24"/>
      <c r="D43" s="24"/>
      <c r="H43" s="24"/>
      <c r="I43" s="24"/>
      <c r="J43" s="24"/>
      <c r="M43" s="660"/>
      <c r="N43" s="660"/>
      <c r="O43" s="660"/>
      <c r="P43" s="660"/>
    </row>
    <row r="44" spans="1:16" s="24" customFormat="1">
      <c r="A44" s="1156" t="s">
        <v>724</v>
      </c>
      <c r="M44" s="824"/>
      <c r="N44" s="824"/>
      <c r="O44" s="824"/>
      <c r="P44" s="824"/>
    </row>
    <row r="45" spans="1:16" s="24" customFormat="1">
      <c r="A45" s="1156"/>
    </row>
    <row r="46" spans="1:16" s="24" customFormat="1">
      <c r="A46" s="1156"/>
    </row>
    <row r="47" spans="1:16" s="24" customFormat="1" ht="30" customHeight="1">
      <c r="A47" s="1156"/>
    </row>
    <row r="48" spans="1:16" s="24" customFormat="1">
      <c r="A48" s="1156"/>
    </row>
    <row r="49" spans="1:12" s="24" customFormat="1">
      <c r="A49" s="1156"/>
    </row>
    <row r="50" spans="1:12" s="24" customFormat="1">
      <c r="A50" s="1156"/>
    </row>
    <row r="51" spans="1:12" s="24" customFormat="1">
      <c r="A51" s="1156"/>
    </row>
    <row r="52" spans="1:12" s="24" customFormat="1">
      <c r="A52" s="1156"/>
    </row>
    <row r="53" spans="1:12" s="24" customFormat="1">
      <c r="A53" s="1156"/>
    </row>
    <row r="54" spans="1:12" s="24" customFormat="1">
      <c r="A54" s="1156"/>
    </row>
    <row r="55" spans="1:12" s="24" customFormat="1">
      <c r="A55" s="1156"/>
    </row>
    <row r="56" spans="1:12" s="24" customFormat="1">
      <c r="A56" s="1156"/>
    </row>
    <row r="57" spans="1:12" s="24" customFormat="1">
      <c r="A57" s="1156"/>
    </row>
    <row r="58" spans="1:12" s="24" customFormat="1">
      <c r="A58" s="1156"/>
    </row>
    <row r="59" spans="1:12" s="24" customFormat="1">
      <c r="A59" s="1156"/>
    </row>
    <row r="60" spans="1:12" s="24" customFormat="1">
      <c r="A60" s="1156"/>
    </row>
    <row r="61" spans="1:12" s="24" customFormat="1">
      <c r="A61" s="1156"/>
    </row>
    <row r="62" spans="1:12" s="24" customFormat="1">
      <c r="A62" s="1156"/>
    </row>
    <row r="63" spans="1:12">
      <c r="B63" s="24"/>
      <c r="C63" s="24"/>
      <c r="D63" s="24"/>
      <c r="H63" s="24"/>
      <c r="I63" s="24"/>
      <c r="J63" s="24"/>
      <c r="K63" s="24"/>
      <c r="L63" s="24"/>
    </row>
    <row r="64" spans="1:12">
      <c r="B64" s="24"/>
      <c r="C64" s="24"/>
      <c r="D64" s="24"/>
      <c r="H64" s="24"/>
      <c r="I64" s="24"/>
      <c r="J64" s="24"/>
      <c r="K64" s="24"/>
      <c r="L64" s="24"/>
    </row>
    <row r="65" spans="2:12">
      <c r="B65" s="24"/>
      <c r="C65" s="24"/>
      <c r="D65" s="24"/>
      <c r="H65" s="24"/>
      <c r="I65" s="24"/>
      <c r="J65" s="24"/>
      <c r="K65" s="24"/>
      <c r="L65" s="24"/>
    </row>
    <row r="66" spans="2:12" ht="27.75" customHeight="1">
      <c r="B66" s="24"/>
      <c r="C66" s="24"/>
      <c r="D66" s="24"/>
      <c r="H66" s="24"/>
      <c r="I66" s="24"/>
      <c r="J66" s="24"/>
      <c r="K66" s="24"/>
      <c r="L66" s="24"/>
    </row>
    <row r="67" spans="2:12" ht="33.75" customHeight="1">
      <c r="B67" s="24"/>
      <c r="C67" s="24"/>
      <c r="D67" s="24"/>
      <c r="H67" s="24"/>
      <c r="I67" s="24"/>
      <c r="J67" s="24"/>
      <c r="K67" s="24"/>
      <c r="L67" s="24"/>
    </row>
    <row r="68" spans="2:12">
      <c r="B68" s="24"/>
      <c r="C68" s="24"/>
      <c r="D68" s="24"/>
      <c r="H68" s="24"/>
      <c r="I68" s="24"/>
      <c r="J68" s="24"/>
      <c r="K68" s="24"/>
      <c r="L68" s="24"/>
    </row>
    <row r="69" spans="2:12">
      <c r="B69" s="24"/>
      <c r="C69" s="24"/>
      <c r="D69" s="24"/>
      <c r="E69" s="622"/>
      <c r="F69" s="24"/>
      <c r="G69" s="24"/>
      <c r="H69" s="24"/>
      <c r="I69" s="24"/>
      <c r="J69" s="24"/>
      <c r="K69" s="24"/>
      <c r="L69" s="24"/>
    </row>
    <row r="70" spans="2:12">
      <c r="B70" s="24"/>
      <c r="C70" s="24"/>
      <c r="D70" s="24"/>
      <c r="E70" s="622"/>
      <c r="F70" s="24"/>
      <c r="G70" s="24"/>
      <c r="H70" s="24"/>
      <c r="I70" s="24"/>
      <c r="J70" s="24"/>
      <c r="K70" s="24"/>
      <c r="L70" s="24"/>
    </row>
    <row r="71" spans="2:12">
      <c r="B71" s="24"/>
      <c r="C71" s="24"/>
      <c r="D71" s="24"/>
      <c r="E71" s="622"/>
      <c r="F71" s="24"/>
      <c r="G71" s="24"/>
      <c r="H71" s="24"/>
      <c r="I71" s="24"/>
      <c r="J71" s="24"/>
      <c r="K71" s="24"/>
      <c r="L71" s="24"/>
    </row>
    <row r="72" spans="2:12">
      <c r="B72" s="24"/>
      <c r="C72" s="24"/>
      <c r="D72" s="24"/>
      <c r="E72" s="622"/>
      <c r="F72" s="24"/>
      <c r="G72" s="24"/>
      <c r="H72" s="24"/>
      <c r="I72" s="24"/>
      <c r="J72" s="24"/>
      <c r="K72" s="24"/>
      <c r="L72" s="24"/>
    </row>
    <row r="73" spans="2:12">
      <c r="B73" s="24"/>
      <c r="C73" s="24"/>
      <c r="D73" s="24"/>
      <c r="E73" s="622"/>
      <c r="F73" s="24"/>
      <c r="G73" s="24"/>
      <c r="H73" s="24"/>
      <c r="I73" s="24"/>
      <c r="J73" s="24"/>
      <c r="K73" s="24"/>
      <c r="L73" s="24"/>
    </row>
    <row r="74" spans="2:12">
      <c r="B74" s="24"/>
      <c r="C74" s="24"/>
      <c r="D74" s="24"/>
      <c r="E74" s="622"/>
      <c r="F74" s="24"/>
      <c r="G74" s="24"/>
      <c r="H74" s="24"/>
      <c r="I74" s="24"/>
      <c r="J74" s="24"/>
      <c r="K74" s="24"/>
      <c r="L74" s="24"/>
    </row>
    <row r="75" spans="2:12">
      <c r="B75" s="24"/>
      <c r="C75" s="24"/>
      <c r="D75" s="24"/>
      <c r="E75" s="622"/>
      <c r="F75" s="24"/>
      <c r="G75" s="24"/>
      <c r="H75" s="24"/>
      <c r="I75" s="24"/>
      <c r="J75" s="24"/>
      <c r="K75" s="24"/>
      <c r="L75" s="24"/>
    </row>
    <row r="76" spans="2:12">
      <c r="B76" s="24"/>
      <c r="C76" s="24"/>
      <c r="D76" s="24"/>
      <c r="E76" s="622"/>
      <c r="F76" s="24"/>
      <c r="G76" s="24"/>
      <c r="H76" s="24"/>
      <c r="I76" s="24"/>
      <c r="J76" s="24"/>
      <c r="K76" s="24"/>
      <c r="L76" s="24"/>
    </row>
    <row r="77" spans="2:12">
      <c r="B77" s="24"/>
      <c r="C77" s="24"/>
      <c r="D77" s="24"/>
      <c r="E77" s="622"/>
      <c r="F77" s="24"/>
      <c r="G77" s="24"/>
      <c r="H77" s="24"/>
      <c r="I77" s="24"/>
      <c r="J77" s="24"/>
      <c r="K77" s="24"/>
      <c r="L77" s="24"/>
    </row>
    <row r="78" spans="2:12">
      <c r="B78" s="24"/>
      <c r="C78" s="24"/>
      <c r="D78" s="24"/>
      <c r="E78" s="622"/>
      <c r="F78" s="24"/>
      <c r="G78" s="24"/>
      <c r="H78" s="24"/>
      <c r="I78" s="24"/>
      <c r="J78" s="24"/>
      <c r="K78" s="24"/>
      <c r="L78" s="24"/>
    </row>
    <row r="79" spans="2:12">
      <c r="B79" s="24"/>
      <c r="C79" s="24"/>
      <c r="D79" s="24"/>
      <c r="E79" s="622"/>
      <c r="F79" s="24"/>
      <c r="G79" s="24"/>
      <c r="H79" s="24"/>
      <c r="I79" s="24"/>
      <c r="J79" s="24"/>
      <c r="K79" s="24"/>
      <c r="L79" s="24"/>
    </row>
    <row r="80" spans="2:12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</row>
    <row r="81" spans="2:12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</row>
    <row r="82" spans="2:12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</row>
    <row r="83" spans="2:12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</row>
    <row r="84" spans="2:12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</row>
    <row r="85" spans="2:12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</row>
    <row r="86" spans="2:12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</row>
    <row r="87" spans="2:12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</row>
    <row r="88" spans="2:12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</row>
    <row r="89" spans="2:12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</row>
    <row r="90" spans="2:12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</row>
    <row r="91" spans="2:12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</row>
    <row r="92" spans="2:12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</row>
    <row r="93" spans="2:12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</row>
    <row r="94" spans="2:12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</row>
    <row r="95" spans="2:12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</row>
    <row r="96" spans="2:12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  <row r="97" spans="2:12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</row>
    <row r="98" spans="2:12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2:12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</row>
    <row r="100" spans="2:12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</row>
    <row r="101" spans="2:12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</row>
    <row r="102" spans="2:12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</row>
    <row r="103" spans="2:12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</row>
    <row r="104" spans="2:12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</row>
    <row r="105" spans="2:12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</row>
    <row r="106" spans="2:12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</row>
    <row r="107" spans="2:12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</row>
    <row r="108" spans="2:12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</row>
    <row r="109" spans="2:12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</row>
  </sheetData>
  <sheetProtection password="C2F4" sheet="1" objects="1" scenarios="1"/>
  <mergeCells count="3">
    <mergeCell ref="E9:G9"/>
    <mergeCell ref="H9:I9"/>
    <mergeCell ref="J9:L9"/>
  </mergeCells>
  <dataValidations count="2">
    <dataValidation type="whole" allowBlank="1" showInputMessage="1" showErrorMessage="1" error="Wrong number format or sign" sqref="E39:G42 H32:L32 H14:L14 E32:G37 F19:L19 F23:L23 F14:G18 F20:G22 E27:G30 E14:E25 F24:G25">
      <formula1>0</formula1>
      <formula2>99999999</formula2>
    </dataValidation>
    <dataValidation type="whole" allowBlank="1" showInputMessage="1" showErrorMessage="1" error="Wrong number format or sign" sqref="J20:J21 H33:I37 J15:L17 H20:I22 K20:L22 J33:L34 K35:L37 J36 H39:I42 J40 J42 K39:L42 H15:I18 K18:L18 H27:L30 J24 K24:L25 H24:I25">
      <formula1>-99999999</formula1>
      <formula2>99999999</formula2>
    </dataValidation>
  </dataValidations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scale="57" orientation="landscape" cellComments="asDisplayed" r:id="rId1"/>
  <headerFooter scaleWithDoc="0" alignWithMargins="0"/>
  <rowBreaks count="1" manualBreakCount="1">
    <brk id="62" min="1" max="14" man="1"/>
  </rowBreaks>
  <ignoredErrors>
    <ignoredError sqref="E12:L12 B30:B42 B14:B18 B23 B24:B25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0" tint="-0.499984740745262"/>
  </sheetPr>
  <dimension ref="A1:AA38"/>
  <sheetViews>
    <sheetView topLeftCell="B6" zoomScaleNormal="100" zoomScaleSheetLayoutView="100" workbookViewId="0">
      <selection activeCell="B6" sqref="B6"/>
    </sheetView>
  </sheetViews>
  <sheetFormatPr defaultColWidth="9.140625" defaultRowHeight="12.75"/>
  <cols>
    <col min="1" max="1" width="13.5703125" style="1156" hidden="1" customWidth="1"/>
    <col min="2" max="2" width="5.7109375" style="62" customWidth="1"/>
    <col min="3" max="3" width="33.85546875" style="62" customWidth="1"/>
    <col min="4" max="4" width="24" style="107" customWidth="1"/>
    <col min="5" max="5" width="13.5703125" style="62" customWidth="1"/>
    <col min="6" max="6" width="14.85546875" style="62" customWidth="1"/>
    <col min="7" max="7" width="13.5703125" style="62" customWidth="1"/>
    <col min="8" max="8" width="13.28515625" style="62" customWidth="1"/>
    <col min="9" max="9" width="14.7109375" style="62" customWidth="1"/>
    <col min="10" max="11" width="13.5703125" style="62" customWidth="1"/>
    <col min="12" max="12" width="13.7109375" style="62" customWidth="1"/>
    <col min="13" max="13" width="13.5703125" style="62" customWidth="1"/>
    <col min="14" max="14" width="23.28515625" style="62" customWidth="1"/>
    <col min="15" max="15" width="13.85546875" style="62" customWidth="1"/>
    <col min="16" max="16" width="17.42578125" style="62" customWidth="1"/>
    <col min="17" max="17" width="19" style="62" customWidth="1"/>
    <col min="18" max="24" width="15.85546875" style="62" bestFit="1" customWidth="1"/>
    <col min="25" max="25" width="11.42578125" style="62" customWidth="1"/>
    <col min="26" max="26" width="11.7109375" style="62" customWidth="1"/>
    <col min="27" max="27" width="16.85546875" style="62" bestFit="1" customWidth="1"/>
    <col min="28" max="16384" width="9.140625" style="62"/>
  </cols>
  <sheetData>
    <row r="1" spans="1:27" s="1097" customFormat="1" ht="18" hidden="1" customHeight="1">
      <c r="A1" s="1096" t="s">
        <v>1247</v>
      </c>
      <c r="B1" s="1118">
        <v>2</v>
      </c>
      <c r="C1" s="1118">
        <v>1</v>
      </c>
      <c r="D1" s="1119">
        <v>14</v>
      </c>
      <c r="E1" s="1182">
        <v>5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27" s="1097" customFormat="1" ht="18" hidden="1" customHeight="1">
      <c r="A2" s="1096" t="str">
        <f>Index!$A$2</f>
        <v>V20181222</v>
      </c>
      <c r="B2" s="1098"/>
      <c r="C2" s="1099"/>
      <c r="D2" s="1100"/>
      <c r="E2" s="1100" t="str">
        <f>$A$1&amp;"_"&amp;E13</f>
        <v>F-15.00_010</v>
      </c>
      <c r="F2" s="1100" t="str">
        <f t="shared" ref="F2:O2" si="0">$A$1&amp;"_"&amp;F13</f>
        <v>F-15.00_020</v>
      </c>
      <c r="G2" s="1100" t="str">
        <f t="shared" si="0"/>
        <v>F-15.00_030</v>
      </c>
      <c r="H2" s="1100" t="str">
        <f t="shared" si="0"/>
        <v>F-15.00_040</v>
      </c>
      <c r="I2" s="1100" t="str">
        <f t="shared" si="0"/>
        <v>F-15.00_050</v>
      </c>
      <c r="J2" s="1100" t="str">
        <f t="shared" si="0"/>
        <v>F-15.00_060</v>
      </c>
      <c r="K2" s="1100" t="str">
        <f t="shared" si="0"/>
        <v>F-15.00_070</v>
      </c>
      <c r="L2" s="1100" t="str">
        <f t="shared" si="0"/>
        <v>F-15.00_080</v>
      </c>
      <c r="M2" s="1100" t="str">
        <f t="shared" si="0"/>
        <v>F-15.00_090</v>
      </c>
      <c r="N2" s="1100" t="str">
        <f t="shared" si="0"/>
        <v>F-15.00_100</v>
      </c>
      <c r="O2" s="1100" t="str">
        <f t="shared" si="0"/>
        <v>F-15.00_110</v>
      </c>
    </row>
    <row r="3" spans="1:27" s="1097" customFormat="1" ht="18" hidden="1" customHeight="1">
      <c r="A3" s="1096" t="str">
        <f>"R:A1:AB"&amp;ROW(A35)+1</f>
        <v>R:A1:AB36</v>
      </c>
      <c r="B3" s="1102"/>
      <c r="C3" s="1103"/>
      <c r="D3" s="1104"/>
      <c r="E3" s="1105"/>
      <c r="F3" s="1106"/>
      <c r="G3" s="1107"/>
      <c r="H3" s="1107"/>
      <c r="I3" s="1107"/>
      <c r="J3" s="1107"/>
      <c r="K3" s="1107"/>
    </row>
    <row r="4" spans="1:27" s="1097" customFormat="1" ht="18" hidden="1" customHeight="1">
      <c r="A4" s="1096"/>
      <c r="B4" s="1102"/>
      <c r="C4" s="1103"/>
      <c r="D4" s="1108"/>
      <c r="E4" s="1109"/>
      <c r="F4" s="1110"/>
      <c r="G4" s="1111">
        <f>N5</f>
        <v>0</v>
      </c>
      <c r="H4" s="1107"/>
      <c r="I4" s="1107"/>
      <c r="J4" s="1107"/>
      <c r="K4" s="1107"/>
    </row>
    <row r="5" spans="1:27" s="1097" customFormat="1" ht="18" hidden="1" customHeight="1">
      <c r="A5" s="1096"/>
      <c r="B5" s="1102"/>
      <c r="C5" s="1103"/>
      <c r="D5" s="1112"/>
      <c r="E5" s="1113"/>
      <c r="F5" s="1114"/>
      <c r="N5" s="1097">
        <f>COUNTIF(P14:AA32,"&lt;&gt;0")-COUNTBLANK(P14:AA32)+COUNTIF(E33:O33,"&lt;&gt;0")-COUNTBLANK(E33:O33)</f>
        <v>0</v>
      </c>
    </row>
    <row r="6" spans="1:27" s="1116" customFormat="1">
      <c r="A6" s="1100" t="s">
        <v>718</v>
      </c>
      <c r="B6" s="1115"/>
    </row>
    <row r="7" spans="1:27">
      <c r="A7" s="1100" t="s">
        <v>718</v>
      </c>
      <c r="B7" s="272" t="s">
        <v>572</v>
      </c>
    </row>
    <row r="8" spans="1:27">
      <c r="A8" s="1100" t="s">
        <v>718</v>
      </c>
      <c r="C8" s="60"/>
      <c r="D8" s="123"/>
    </row>
    <row r="9" spans="1:27" ht="33" customHeight="1">
      <c r="A9" s="1100" t="s">
        <v>718</v>
      </c>
      <c r="B9" s="586"/>
      <c r="C9" s="1986"/>
      <c r="D9" s="597"/>
      <c r="E9" s="1978" t="s">
        <v>352</v>
      </c>
      <c r="F9" s="2045"/>
      <c r="G9" s="2045"/>
      <c r="H9" s="2045"/>
      <c r="I9" s="2045"/>
      <c r="J9" s="2044"/>
      <c r="K9" s="1978" t="s">
        <v>353</v>
      </c>
      <c r="L9" s="2045"/>
      <c r="M9" s="2044"/>
      <c r="N9" s="1981" t="s">
        <v>474</v>
      </c>
      <c r="O9" s="1981" t="s">
        <v>174</v>
      </c>
    </row>
    <row r="10" spans="1:27" ht="24" customHeight="1">
      <c r="A10" s="1100" t="s">
        <v>718</v>
      </c>
      <c r="B10" s="493"/>
      <c r="C10" s="2086"/>
      <c r="D10" s="391"/>
      <c r="E10" s="1978" t="s">
        <v>365</v>
      </c>
      <c r="F10" s="2045"/>
      <c r="G10" s="2044"/>
      <c r="H10" s="1978" t="s">
        <v>1818</v>
      </c>
      <c r="I10" s="2045"/>
      <c r="J10" s="2044"/>
      <c r="K10" s="1981" t="s">
        <v>354</v>
      </c>
      <c r="L10" s="1981" t="s">
        <v>355</v>
      </c>
      <c r="M10" s="1986" t="s">
        <v>356</v>
      </c>
      <c r="N10" s="1982"/>
      <c r="O10" s="1982"/>
    </row>
    <row r="11" spans="1:27" ht="42.75" customHeight="1">
      <c r="A11" s="1100" t="s">
        <v>718</v>
      </c>
      <c r="B11" s="493"/>
      <c r="C11" s="2099"/>
      <c r="D11" s="391"/>
      <c r="E11" s="606" t="s">
        <v>57</v>
      </c>
      <c r="F11" s="519" t="s">
        <v>175</v>
      </c>
      <c r="G11" s="519" t="s">
        <v>176</v>
      </c>
      <c r="H11" s="605" t="s">
        <v>57</v>
      </c>
      <c r="I11" s="519" t="s">
        <v>175</v>
      </c>
      <c r="J11" s="519" t="s">
        <v>176</v>
      </c>
      <c r="K11" s="1983"/>
      <c r="L11" s="1983"/>
      <c r="M11" s="1987"/>
      <c r="N11" s="1983"/>
      <c r="O11" s="1983"/>
    </row>
    <row r="12" spans="1:27" ht="42">
      <c r="A12" s="1100" t="s">
        <v>718</v>
      </c>
      <c r="B12" s="493"/>
      <c r="C12" s="520"/>
      <c r="D12" s="445" t="s">
        <v>551</v>
      </c>
      <c r="E12" s="584" t="s">
        <v>1813</v>
      </c>
      <c r="F12" s="584" t="s">
        <v>687</v>
      </c>
      <c r="G12" s="584" t="s">
        <v>1814</v>
      </c>
      <c r="H12" s="584" t="s">
        <v>543</v>
      </c>
      <c r="I12" s="584" t="s">
        <v>351</v>
      </c>
      <c r="J12" s="584" t="s">
        <v>1815</v>
      </c>
      <c r="K12" s="521"/>
      <c r="L12" s="584" t="s">
        <v>542</v>
      </c>
      <c r="M12" s="584" t="s">
        <v>1816</v>
      </c>
      <c r="N12" s="521"/>
      <c r="O12" s="584" t="s">
        <v>1817</v>
      </c>
    </row>
    <row r="13" spans="1:27">
      <c r="B13" s="405"/>
      <c r="C13" s="522"/>
      <c r="D13" s="384"/>
      <c r="E13" s="523" t="s">
        <v>292</v>
      </c>
      <c r="F13" s="523" t="s">
        <v>293</v>
      </c>
      <c r="G13" s="492" t="s">
        <v>294</v>
      </c>
      <c r="H13" s="491" t="s">
        <v>295</v>
      </c>
      <c r="I13" s="523" t="s">
        <v>296</v>
      </c>
      <c r="J13" s="523" t="s">
        <v>297</v>
      </c>
      <c r="K13" s="492" t="s">
        <v>298</v>
      </c>
      <c r="L13" s="491" t="s">
        <v>299</v>
      </c>
      <c r="M13" s="491" t="s">
        <v>300</v>
      </c>
      <c r="N13" s="491">
        <v>100</v>
      </c>
      <c r="O13" s="491">
        <v>110</v>
      </c>
    </row>
    <row r="14" spans="1:27" s="841" customFormat="1" ht="21">
      <c r="A14" s="1156" t="str">
        <f t="shared" ref="A14:A32" si="1">$A$1&amp;"_"&amp;B14</f>
        <v>F-15.00_010</v>
      </c>
      <c r="B14" s="839" t="s">
        <v>292</v>
      </c>
      <c r="C14" s="725" t="s">
        <v>58</v>
      </c>
      <c r="D14" s="44" t="s">
        <v>1745</v>
      </c>
      <c r="E14" s="1852"/>
      <c r="F14" s="1852"/>
      <c r="G14" s="1852"/>
      <c r="H14" s="1852"/>
      <c r="I14" s="1852"/>
      <c r="J14" s="1852"/>
      <c r="K14" s="1852"/>
      <c r="L14" s="1852"/>
      <c r="M14" s="1852"/>
      <c r="N14" s="840"/>
      <c r="O14" s="1852"/>
      <c r="P14" s="962">
        <f>IF($E$14&gt;=SUM($F$14+$G$14),0,"r10,c10&gt;=c20+c30")</f>
        <v>0</v>
      </c>
      <c r="Q14" s="962">
        <f>IF($H$14&gt;=SUM($I$14+$J$14),0,"r10,c40&gt;=c50 + c60")</f>
        <v>0</v>
      </c>
      <c r="R14" s="962">
        <f>IF($E$14&gt;=0,0,"r10,F15,c10&gt;=0")</f>
        <v>0</v>
      </c>
      <c r="S14" s="962">
        <f>IF($F$14&gt;=0,0,"r10,F15,c20&gt;=0")</f>
        <v>0</v>
      </c>
      <c r="T14" s="962">
        <f>IF($G$14&gt;=0,0,"r10,F15,c30&gt;=0")</f>
        <v>0</v>
      </c>
      <c r="U14" s="962">
        <f>IF($H$14&gt;=0,0,"r10,F15,c40&gt;=0")</f>
        <v>0</v>
      </c>
      <c r="V14" s="962">
        <f>IF($I$14&gt;=0,0,"r10,F15,c50&gt;=0")</f>
        <v>0</v>
      </c>
      <c r="W14" s="962">
        <f>IF($J$14&gt;=0,0,"r10,F15,c60&gt;=0")</f>
        <v>0</v>
      </c>
      <c r="X14" s="962">
        <f>IF($K$14&gt;=0,0,"r10,F15,c70&gt;=0")</f>
        <v>0</v>
      </c>
      <c r="Y14" s="962">
        <f>IF($L$14&gt;=0,0,"r10,F15,c80&gt;=0")</f>
        <v>0</v>
      </c>
      <c r="Z14" s="962">
        <f>IF($M$14&gt;=0,0,"r10,F15,c90&gt;=0")</f>
        <v>0</v>
      </c>
      <c r="AA14" s="962">
        <f>IF($O$14&gt;=0,0,"r10,F15,c110&gt;=0")</f>
        <v>0</v>
      </c>
    </row>
    <row r="15" spans="1:27">
      <c r="A15" s="1156" t="str">
        <f t="shared" si="1"/>
        <v>F-15.00_020</v>
      </c>
      <c r="B15" s="363" t="s">
        <v>293</v>
      </c>
      <c r="C15" s="48" t="s">
        <v>59</v>
      </c>
      <c r="D15" s="14" t="s">
        <v>60</v>
      </c>
      <c r="E15" s="1853"/>
      <c r="F15" s="1853"/>
      <c r="G15" s="1853"/>
      <c r="H15" s="1853"/>
      <c r="I15" s="1853"/>
      <c r="J15" s="1853"/>
      <c r="K15" s="1853"/>
      <c r="L15" s="1853"/>
      <c r="M15" s="1853"/>
      <c r="N15" s="681"/>
      <c r="O15" s="682"/>
      <c r="P15" s="962">
        <f>IF($E$15&gt;=SUM($F$15+$G$15),0,"r20,c10&gt;=c20+c30")</f>
        <v>0</v>
      </c>
      <c r="Q15" s="962">
        <f>IF($H$15&gt;=SUM($I$15+$J$15),0,"r20,c40&gt;=c50 + c60")</f>
        <v>0</v>
      </c>
      <c r="R15" s="962">
        <f>IF($E$15&gt;=0,0,"r20,F15,c10&gt;=0")</f>
        <v>0</v>
      </c>
      <c r="S15" s="962">
        <f>IF($F$15&gt;=0,0,"r20,F15,c20&gt;=0")</f>
        <v>0</v>
      </c>
      <c r="T15" s="962">
        <f>IF($G$15&gt;=0,0,"r20,F15,c30&gt;=0")</f>
        <v>0</v>
      </c>
      <c r="U15" s="962">
        <f>IF($H$15&gt;=0,0,"r20,F15,c40&gt;=0")</f>
        <v>0</v>
      </c>
      <c r="V15" s="962">
        <f>IF($I$15&gt;=0,0,"r20,F15,c50&gt;=0")</f>
        <v>0</v>
      </c>
      <c r="W15" s="962">
        <f>IF($J$15&gt;=0,0,"r20,F15,c60&gt;=0")</f>
        <v>0</v>
      </c>
      <c r="X15" s="962">
        <f>IF($K$15&gt;=0,0,"r20,F15,c70&gt;=0")</f>
        <v>0</v>
      </c>
      <c r="Y15" s="962">
        <f>IF($L$15&gt;=0,0,"r20,F15,c80&gt;=0")</f>
        <v>0</v>
      </c>
      <c r="Z15" s="962">
        <f>IF($M$15&gt;=0,0,"r20,F15,c90&gt;=0")</f>
        <v>0</v>
      </c>
      <c r="AA15" s="962"/>
    </row>
    <row r="16" spans="1:27" ht="12" customHeight="1">
      <c r="A16" s="1156" t="str">
        <f t="shared" si="1"/>
        <v>F-15.00_030</v>
      </c>
      <c r="B16" s="363" t="s">
        <v>294</v>
      </c>
      <c r="C16" s="48" t="s">
        <v>55</v>
      </c>
      <c r="D16" s="14" t="s">
        <v>595</v>
      </c>
      <c r="E16" s="1853"/>
      <c r="F16" s="1853"/>
      <c r="G16" s="1853"/>
      <c r="H16" s="1853"/>
      <c r="I16" s="1853"/>
      <c r="J16" s="1853"/>
      <c r="K16" s="1853"/>
      <c r="L16" s="1853"/>
      <c r="M16" s="1853"/>
      <c r="N16" s="681"/>
      <c r="O16" s="1853"/>
      <c r="P16" s="962">
        <f>IF($E$16&gt;=SUM($F$16+$G$16),0,"r30,c10&gt;=c20+c30")</f>
        <v>0</v>
      </c>
      <c r="Q16" s="962">
        <f>IF($H$16&gt;=SUM($I$16+$J$16),0,"r30,c40&gt;=c50 + c60")</f>
        <v>0</v>
      </c>
      <c r="R16" s="962">
        <f>IF($E$16&gt;=0,0,"r30,F15,c10&gt;=0")</f>
        <v>0</v>
      </c>
      <c r="S16" s="962">
        <f>IF($F$16&gt;=0,0,"r30,F15,c20&gt;=0")</f>
        <v>0</v>
      </c>
      <c r="T16" s="962">
        <f>IF($G$16&gt;=0,0,"r30,F15,c30&gt;=0")</f>
        <v>0</v>
      </c>
      <c r="U16" s="962">
        <f>IF($H$16&gt;=0,0,"r30,F15,c40&gt;=0")</f>
        <v>0</v>
      </c>
      <c r="V16" s="962">
        <f>IF($I$16&gt;=0,0,"r30,F15,c50&gt;=0")</f>
        <v>0</v>
      </c>
      <c r="W16" s="962">
        <f>IF($J$16&gt;=0,0,"r30,F15,c60&gt;=0")</f>
        <v>0</v>
      </c>
      <c r="X16" s="962">
        <f>IF($K$16&gt;=0,0,"r30,F15,c70&gt;=0")</f>
        <v>0</v>
      </c>
      <c r="Y16" s="962">
        <f>IF($L$16&gt;=0,0,"r30,F15,c80&gt;=0")</f>
        <v>0</v>
      </c>
      <c r="Z16" s="962">
        <f>IF($M$16&gt;=0,0,"r30,F15,c90&gt;=0")</f>
        <v>0</v>
      </c>
      <c r="AA16" s="962">
        <f>IF($O$16&gt;=0,0,"r30,F15,c110&gt;=0")</f>
        <v>0</v>
      </c>
    </row>
    <row r="17" spans="1:27" ht="12" customHeight="1">
      <c r="A17" s="1156" t="str">
        <f t="shared" si="1"/>
        <v>F-15.00_040</v>
      </c>
      <c r="B17" s="363" t="s">
        <v>295</v>
      </c>
      <c r="C17" s="48" t="s">
        <v>61</v>
      </c>
      <c r="D17" s="14" t="s">
        <v>1576</v>
      </c>
      <c r="E17" s="1853"/>
      <c r="F17" s="1853"/>
      <c r="G17" s="1853"/>
      <c r="H17" s="1853"/>
      <c r="I17" s="1853"/>
      <c r="J17" s="1853"/>
      <c r="K17" s="1853"/>
      <c r="L17" s="1853"/>
      <c r="M17" s="1853"/>
      <c r="N17" s="681"/>
      <c r="O17" s="1853"/>
      <c r="P17" s="962">
        <f>IF($E17&gt;=SUM($F17+$G17),0,"r40,c10&gt;=c20+c30")</f>
        <v>0</v>
      </c>
      <c r="Q17" s="962">
        <f>IF($H17&gt;=SUM($I17+$J17),0,"r40,c40&gt;=c50 + c60")</f>
        <v>0</v>
      </c>
      <c r="R17" s="962">
        <f>IF($E17&gt;=0,0,"r40,F15,c10&gt;=0")</f>
        <v>0</v>
      </c>
      <c r="S17" s="962">
        <f>IF($F17&gt;=0,0,"r40,F15,c20&gt;=0")</f>
        <v>0</v>
      </c>
      <c r="T17" s="962">
        <f>IF($G17&gt;=0,0,"r40,F15,c30&gt;=0")</f>
        <v>0</v>
      </c>
      <c r="U17" s="962">
        <f>IF($H17&gt;=0,0,"r40,F15,c40&gt;=0")</f>
        <v>0</v>
      </c>
      <c r="V17" s="962">
        <f>IF($I17&gt;=0,0,"r40,F15,c50&gt;=0")</f>
        <v>0</v>
      </c>
      <c r="W17" s="962">
        <f>IF($J17&gt;=0,0,"r40,F15,c60&gt;=0")</f>
        <v>0</v>
      </c>
      <c r="X17" s="962">
        <f>IF($K17&gt;=0,0,"r40,F15,c70&gt;=0")</f>
        <v>0</v>
      </c>
      <c r="Y17" s="962">
        <f>IF($L17&gt;=0,0,"r40,F15,c80&gt;=0")</f>
        <v>0</v>
      </c>
      <c r="Z17" s="962">
        <f>IF($M17&gt;=0,0,"r40,F15,c90&gt;=0")</f>
        <v>0</v>
      </c>
      <c r="AA17" s="962">
        <f>IF($O17&gt;=0,0,"r40,F15,c110&gt;=0")</f>
        <v>0</v>
      </c>
    </row>
    <row r="18" spans="1:27" ht="31.5">
      <c r="A18" s="1156" t="str">
        <f t="shared" si="1"/>
        <v>F-15.00_045</v>
      </c>
      <c r="B18" s="1780" t="s">
        <v>1804</v>
      </c>
      <c r="C18" s="1743" t="s">
        <v>1679</v>
      </c>
      <c r="D18" s="14" t="s">
        <v>1744</v>
      </c>
      <c r="E18" s="1854"/>
      <c r="F18" s="1854"/>
      <c r="G18" s="1854"/>
      <c r="H18" s="1854"/>
      <c r="I18" s="1854"/>
      <c r="J18" s="1854"/>
      <c r="K18" s="1854"/>
      <c r="L18" s="1854"/>
      <c r="M18" s="1854"/>
      <c r="N18" s="681"/>
      <c r="O18" s="1854"/>
      <c r="P18" s="815">
        <f>IF($E18&gt;=SUM($F18+$G18),0,"r45,c10&gt;=c20+c30")</f>
        <v>0</v>
      </c>
      <c r="Q18" s="815">
        <f>IF($H18&gt;=SUM($I18+$J18),0,"r45,c40&gt;=c50 + c60")</f>
        <v>0</v>
      </c>
      <c r="R18" s="1491">
        <f t="shared" ref="R18:R21" si="2">IF($E18&gt;=0,0,"r40,F15,c10&gt;=0")</f>
        <v>0</v>
      </c>
      <c r="S18" s="1491">
        <f t="shared" ref="S18:S21" si="3">IF($F18&gt;=0,0,"r40,F15,c20&gt;=0")</f>
        <v>0</v>
      </c>
      <c r="T18" s="1491">
        <f t="shared" ref="T18:T21" si="4">IF($G18&gt;=0,0,"r40,F15,c30&gt;=0")</f>
        <v>0</v>
      </c>
      <c r="U18" s="1491">
        <f t="shared" ref="U18:U21" si="5">IF($H18&gt;=0,0,"r40,F15,c40&gt;=0")</f>
        <v>0</v>
      </c>
      <c r="V18" s="1491">
        <f t="shared" ref="V18:V21" si="6">IF($I18&gt;=0,0,"r40,F15,c50&gt;=0")</f>
        <v>0</v>
      </c>
      <c r="W18" s="1491">
        <f t="shared" ref="W18:W21" si="7">IF($J18&gt;=0,0,"r40,F15,c60&gt;=0")</f>
        <v>0</v>
      </c>
      <c r="X18" s="1491">
        <f t="shared" ref="X18:X21" si="8">IF($K18&gt;=0,0,"r40,F15,c70&gt;=0")</f>
        <v>0</v>
      </c>
      <c r="Y18" s="1491">
        <f t="shared" ref="Y18:Y21" si="9">IF($L18&gt;=0,0,"r40,F15,c80&gt;=0")</f>
        <v>0</v>
      </c>
      <c r="Z18" s="1491">
        <f t="shared" ref="Z18:Z21" si="10">IF($M18&gt;=0,0,"r40,F15,c90&gt;=0")</f>
        <v>0</v>
      </c>
      <c r="AA18" s="1491">
        <f t="shared" ref="AA18:AA21" si="11">IF($O18&gt;=0,0,"r40,F15,c110&gt;=0")</f>
        <v>0</v>
      </c>
    </row>
    <row r="19" spans="1:27" ht="12" customHeight="1">
      <c r="A19" s="1156" t="str">
        <f t="shared" si="1"/>
        <v>F-15.00_046</v>
      </c>
      <c r="B19" s="1543" t="s">
        <v>1805</v>
      </c>
      <c r="C19" s="8" t="s">
        <v>63</v>
      </c>
      <c r="D19" s="14" t="s">
        <v>60</v>
      </c>
      <c r="E19" s="1853"/>
      <c r="F19" s="1853"/>
      <c r="G19" s="1853"/>
      <c r="H19" s="1853"/>
      <c r="I19" s="1853"/>
      <c r="J19" s="1853"/>
      <c r="K19" s="1853"/>
      <c r="L19" s="1853"/>
      <c r="M19" s="1853"/>
      <c r="N19" s="681"/>
      <c r="O19" s="1853"/>
      <c r="P19" s="815">
        <f>IF($E19&gt;=SUM($F19+$G19),0,"r46,c10&gt;=c20+c30")</f>
        <v>0</v>
      </c>
      <c r="Q19" s="815">
        <f>IF($H19&gt;=SUM($I19+$J19),0,"r46,c40&gt;=c50 + c60")</f>
        <v>0</v>
      </c>
      <c r="R19" s="1491">
        <f t="shared" si="2"/>
        <v>0</v>
      </c>
      <c r="S19" s="1491">
        <f t="shared" si="3"/>
        <v>0</v>
      </c>
      <c r="T19" s="1491">
        <f t="shared" si="4"/>
        <v>0</v>
      </c>
      <c r="U19" s="1491">
        <f t="shared" si="5"/>
        <v>0</v>
      </c>
      <c r="V19" s="1491">
        <f t="shared" si="6"/>
        <v>0</v>
      </c>
      <c r="W19" s="1491">
        <f t="shared" si="7"/>
        <v>0</v>
      </c>
      <c r="X19" s="1491">
        <f t="shared" si="8"/>
        <v>0</v>
      </c>
      <c r="Y19" s="1491">
        <f t="shared" si="9"/>
        <v>0</v>
      </c>
      <c r="Z19" s="1491">
        <f t="shared" si="10"/>
        <v>0</v>
      </c>
      <c r="AA19" s="1491">
        <f t="shared" si="11"/>
        <v>0</v>
      </c>
    </row>
    <row r="20" spans="1:27" ht="12" customHeight="1">
      <c r="A20" s="1156" t="str">
        <f t="shared" si="1"/>
        <v>F-15.00_047</v>
      </c>
      <c r="B20" s="1543" t="s">
        <v>1806</v>
      </c>
      <c r="C20" s="8" t="s">
        <v>55</v>
      </c>
      <c r="D20" s="14" t="s">
        <v>595</v>
      </c>
      <c r="E20" s="1853"/>
      <c r="F20" s="1853"/>
      <c r="G20" s="1853"/>
      <c r="H20" s="1853"/>
      <c r="I20" s="1853"/>
      <c r="J20" s="1853"/>
      <c r="K20" s="1853"/>
      <c r="L20" s="1853"/>
      <c r="M20" s="1853"/>
      <c r="N20" s="681"/>
      <c r="O20" s="1853"/>
      <c r="P20" s="815">
        <f>IF($E20&gt;=SUM($F20+$G20),0,"r47,c10&gt;=c20+c30")</f>
        <v>0</v>
      </c>
      <c r="Q20" s="815">
        <f>IF($H20&gt;=SUM($I20+$J20),0,"r47,c40&gt;=c50 + c60")</f>
        <v>0</v>
      </c>
      <c r="R20" s="1491">
        <f t="shared" si="2"/>
        <v>0</v>
      </c>
      <c r="S20" s="1491">
        <f t="shared" si="3"/>
        <v>0</v>
      </c>
      <c r="T20" s="1491">
        <f t="shared" si="4"/>
        <v>0</v>
      </c>
      <c r="U20" s="1491">
        <f t="shared" si="5"/>
        <v>0</v>
      </c>
      <c r="V20" s="1491">
        <f t="shared" si="6"/>
        <v>0</v>
      </c>
      <c r="W20" s="1491">
        <f t="shared" si="7"/>
        <v>0</v>
      </c>
      <c r="X20" s="1491">
        <f t="shared" si="8"/>
        <v>0</v>
      </c>
      <c r="Y20" s="1491">
        <f t="shared" si="9"/>
        <v>0</v>
      </c>
      <c r="Z20" s="1491">
        <f t="shared" si="10"/>
        <v>0</v>
      </c>
      <c r="AA20" s="1491">
        <f t="shared" si="11"/>
        <v>0</v>
      </c>
    </row>
    <row r="21" spans="1:27" ht="12" customHeight="1">
      <c r="A21" s="1156" t="str">
        <f t="shared" si="1"/>
        <v>F-15.00_048</v>
      </c>
      <c r="B21" s="1543" t="s">
        <v>1807</v>
      </c>
      <c r="C21" s="8" t="s">
        <v>61</v>
      </c>
      <c r="D21" s="14" t="s">
        <v>1576</v>
      </c>
      <c r="E21" s="1855"/>
      <c r="F21" s="1855"/>
      <c r="G21" s="1855"/>
      <c r="H21" s="1855"/>
      <c r="I21" s="1855"/>
      <c r="J21" s="1855"/>
      <c r="K21" s="1855"/>
      <c r="L21" s="1855"/>
      <c r="M21" s="1855"/>
      <c r="N21" s="681"/>
      <c r="O21" s="1855"/>
      <c r="P21" s="815">
        <f>IF($E21&gt;=SUM($F21+$G21),0,"r48,c10&gt;=c20+c30")</f>
        <v>0</v>
      </c>
      <c r="Q21" s="815">
        <f>IF($H21&gt;=SUM($I21+$J21),0,"r48,c40&gt;=c50 + c60")</f>
        <v>0</v>
      </c>
      <c r="R21" s="1491">
        <f t="shared" si="2"/>
        <v>0</v>
      </c>
      <c r="S21" s="1491">
        <f t="shared" si="3"/>
        <v>0</v>
      </c>
      <c r="T21" s="1491">
        <f t="shared" si="4"/>
        <v>0</v>
      </c>
      <c r="U21" s="1491">
        <f t="shared" si="5"/>
        <v>0</v>
      </c>
      <c r="V21" s="1491">
        <f t="shared" si="6"/>
        <v>0</v>
      </c>
      <c r="W21" s="1491">
        <f t="shared" si="7"/>
        <v>0</v>
      </c>
      <c r="X21" s="1491">
        <f t="shared" si="8"/>
        <v>0</v>
      </c>
      <c r="Y21" s="1491">
        <f t="shared" si="9"/>
        <v>0</v>
      </c>
      <c r="Z21" s="1491">
        <f t="shared" si="10"/>
        <v>0</v>
      </c>
      <c r="AA21" s="1491">
        <f t="shared" si="11"/>
        <v>0</v>
      </c>
    </row>
    <row r="22" spans="1:27" s="841" customFormat="1" ht="21">
      <c r="A22" s="1156" t="str">
        <f t="shared" si="1"/>
        <v>F-15.00_050</v>
      </c>
      <c r="B22" s="1744" t="s">
        <v>296</v>
      </c>
      <c r="C22" s="1745" t="s">
        <v>62</v>
      </c>
      <c r="D22" s="14" t="s">
        <v>1580</v>
      </c>
      <c r="E22" s="1854"/>
      <c r="F22" s="1854"/>
      <c r="G22" s="1854"/>
      <c r="H22" s="1854"/>
      <c r="I22" s="1854"/>
      <c r="J22" s="1854"/>
      <c r="K22" s="1854"/>
      <c r="L22" s="1854"/>
      <c r="M22" s="1854"/>
      <c r="N22" s="842"/>
      <c r="O22" s="1854"/>
      <c r="P22" s="815">
        <f>IF($E$22&gt;=SUM($F$22+$G$22),0,"r50,c10&gt;=c20+c30")</f>
        <v>0</v>
      </c>
      <c r="Q22" s="815">
        <f>IF($H$22&gt;=SUM($I$22+$J$22),0,"r50,c40&gt;=c50 + c60")</f>
        <v>0</v>
      </c>
      <c r="R22" s="962">
        <f>IF($E$22&gt;=0,0,"r50,F15,c10&gt;=0")</f>
        <v>0</v>
      </c>
      <c r="S22" s="962">
        <f>IF($F$22&gt;=0,0,"r50,F15,c20&gt;=0")</f>
        <v>0</v>
      </c>
      <c r="T22" s="962">
        <f>IF($G$22&gt;=0,0,"r50,F15,c30&gt;=0")</f>
        <v>0</v>
      </c>
      <c r="U22" s="962">
        <f>IF($H$22&gt;=0,0,"r50,F15,c40&gt;=0")</f>
        <v>0</v>
      </c>
      <c r="V22" s="962">
        <f>IF($I$22&gt;=0,0,"r50,F15,c50&gt;=0")</f>
        <v>0</v>
      </c>
      <c r="W22" s="962">
        <f>IF($J$22&gt;=0,0,"r50,F15,c60&gt;=0")</f>
        <v>0</v>
      </c>
      <c r="X22" s="962">
        <f>IF($K$22&gt;=0,0,"r50,F15,c70&gt;=0")</f>
        <v>0</v>
      </c>
      <c r="Y22" s="962">
        <f>IF($L$22&gt;=0,0,"r50,F15,c80&gt;=0")</f>
        <v>0</v>
      </c>
      <c r="Z22" s="962">
        <f>IF($M$22&gt;=0,0,"r50,F15,c90&gt;=0")</f>
        <v>0</v>
      </c>
      <c r="AA22" s="962">
        <f>IF($O$22&gt;=0,0,"r50,F15,c110&gt;=0")</f>
        <v>0</v>
      </c>
    </row>
    <row r="23" spans="1:27" ht="12" customHeight="1">
      <c r="A23" s="1156" t="str">
        <f t="shared" si="1"/>
        <v>F-15.00_070</v>
      </c>
      <c r="B23" s="361" t="s">
        <v>298</v>
      </c>
      <c r="C23" s="47" t="s">
        <v>55</v>
      </c>
      <c r="D23" s="14" t="s">
        <v>595</v>
      </c>
      <c r="E23" s="1855"/>
      <c r="F23" s="1853"/>
      <c r="G23" s="1853"/>
      <c r="H23" s="1853"/>
      <c r="I23" s="1853"/>
      <c r="J23" s="1853"/>
      <c r="K23" s="1853"/>
      <c r="L23" s="1853"/>
      <c r="M23" s="1853"/>
      <c r="N23" s="681"/>
      <c r="O23" s="1853"/>
      <c r="P23" s="815">
        <f>IF($E$23&gt;=SUM($F$23+$G$23),0,"r70,c10&gt;=c20+c30")</f>
        <v>0</v>
      </c>
      <c r="Q23" s="815">
        <f>IF($H$23&gt;=SUM($I$23+$J$23),0,"r70,c40&gt;=c50 + c60")</f>
        <v>0</v>
      </c>
      <c r="R23" s="962">
        <f>IF($E$23&gt;=0,0,"r70,F15,c10&gt;=0")</f>
        <v>0</v>
      </c>
      <c r="S23" s="962">
        <f>IF($F$23&gt;=0,0,"r70,F15,c20&gt;=0")</f>
        <v>0</v>
      </c>
      <c r="T23" s="962">
        <f>IF($G$23&gt;=0,0,"r70,F15,c30&gt;=0")</f>
        <v>0</v>
      </c>
      <c r="U23" s="962">
        <f>IF($H$23&gt;=0,0,"r70,F15,c40&gt;=0")</f>
        <v>0</v>
      </c>
      <c r="V23" s="962">
        <f>IF($I$23&gt;=0,0,"r70,F15,c50&gt;=0")</f>
        <v>0</v>
      </c>
      <c r="W23" s="962">
        <f>IF($J$23&gt;=0,0,"r70,F15,c60&gt;=0")</f>
        <v>0</v>
      </c>
      <c r="X23" s="962">
        <f>IF($K$23&gt;=0,0,"r70,F15,c70&gt;=0")</f>
        <v>0</v>
      </c>
      <c r="Y23" s="962">
        <f>IF($L$23&gt;=0,0,"r70,F15,c80&gt;=0")</f>
        <v>0</v>
      </c>
      <c r="Z23" s="962">
        <f>IF($M$23&gt;=0,0,"r70,F15,c90&gt;=0")</f>
        <v>0</v>
      </c>
      <c r="AA23" s="962">
        <f>IF($O$23&gt;=0,0,"r70,F15,c110&gt;=0")</f>
        <v>0</v>
      </c>
    </row>
    <row r="24" spans="1:27" ht="12" customHeight="1">
      <c r="A24" s="1156" t="str">
        <f t="shared" si="1"/>
        <v>F-15.00_080</v>
      </c>
      <c r="B24" s="361" t="s">
        <v>299</v>
      </c>
      <c r="C24" s="47" t="s">
        <v>61</v>
      </c>
      <c r="D24" s="14" t="s">
        <v>1576</v>
      </c>
      <c r="E24" s="1855"/>
      <c r="F24" s="1853"/>
      <c r="G24" s="1853"/>
      <c r="H24" s="1853"/>
      <c r="I24" s="1853"/>
      <c r="J24" s="1853"/>
      <c r="K24" s="1853"/>
      <c r="L24" s="1853"/>
      <c r="M24" s="1853"/>
      <c r="N24" s="1172"/>
      <c r="O24" s="1853"/>
      <c r="P24" s="815">
        <f>IF($E$24&gt;=SUM($F$24+$G$24),0,"r80,c10&gt;=c20+c30")</f>
        <v>0</v>
      </c>
      <c r="Q24" s="815">
        <f>IF($H$24&gt;=SUM($I$24+$J$24),0,"r80,c40&gt;=c50 + c60")</f>
        <v>0</v>
      </c>
      <c r="R24" s="962">
        <f>IF($E$24&gt;=0,0,"r80,F15,c10&gt;=0")</f>
        <v>0</v>
      </c>
      <c r="S24" s="962">
        <f>IF($F$24&gt;=0,0,"r80,F15,c20&gt;=0")</f>
        <v>0</v>
      </c>
      <c r="T24" s="962">
        <f>IF($G$24&gt;=0,0,"r80,F15,c30&gt;=0")</f>
        <v>0</v>
      </c>
      <c r="U24" s="962">
        <f>IF($H$24&gt;=0,0,"r80,F15,c40&gt;=0")</f>
        <v>0</v>
      </c>
      <c r="V24" s="962">
        <f>IF($I$24&gt;=0,0,"r80,F15,c50&gt;=0")</f>
        <v>0</v>
      </c>
      <c r="W24" s="962">
        <f>IF($J$24&gt;=0,0,"r80,F15,c60&gt;=0")</f>
        <v>0</v>
      </c>
      <c r="X24" s="962">
        <f>IF($K$24&gt;=0,0,"r80,F15,c70&gt;=0")</f>
        <v>0</v>
      </c>
      <c r="Y24" s="962">
        <f>IF($L$24&gt;=0,0,"r80,F15,c80&gt;=0")</f>
        <v>0</v>
      </c>
      <c r="Z24" s="962">
        <f>IF($M$24&gt;=0,0,"r80,F15,c90&gt;=0")</f>
        <v>0</v>
      </c>
      <c r="AA24" s="962">
        <f>IF($O$24&gt;=0,0,"r80,F15,c110&gt;=0")</f>
        <v>0</v>
      </c>
    </row>
    <row r="25" spans="1:27" s="108" customFormat="1" ht="31.5">
      <c r="A25" s="1156" t="str">
        <f t="shared" si="1"/>
        <v>F-15.00_091</v>
      </c>
      <c r="B25" s="1780" t="s">
        <v>1808</v>
      </c>
      <c r="C25" s="1506" t="s">
        <v>1683</v>
      </c>
      <c r="D25" s="14" t="s">
        <v>1672</v>
      </c>
      <c r="E25" s="1855"/>
      <c r="F25" s="1853"/>
      <c r="G25" s="1853"/>
      <c r="H25" s="1853"/>
      <c r="I25" s="1853"/>
      <c r="J25" s="1853"/>
      <c r="K25" s="1853"/>
      <c r="L25" s="1853"/>
      <c r="M25" s="1853"/>
      <c r="N25" s="681"/>
      <c r="O25" s="1853"/>
      <c r="P25" s="815">
        <f>IF($E25&gt;=SUM($F25+$G25),0,"r91,c10&gt;=c20+c30")</f>
        <v>0</v>
      </c>
      <c r="Q25" s="815">
        <f>IF($H25&gt;=SUM($I25+$J25),0,"r91,c40&gt;=c50 + c60")</f>
        <v>0</v>
      </c>
      <c r="R25" s="1491">
        <f t="shared" ref="R25:R28" si="12">IF($E25&gt;=0,0,"r40,F15,c10&gt;=0")</f>
        <v>0</v>
      </c>
      <c r="S25" s="1491">
        <f t="shared" ref="S25:S28" si="13">IF($F25&gt;=0,0,"r40,F15,c20&gt;=0")</f>
        <v>0</v>
      </c>
      <c r="T25" s="1491">
        <f t="shared" ref="T25:T28" si="14">IF($G25&gt;=0,0,"r40,F15,c30&gt;=0")</f>
        <v>0</v>
      </c>
      <c r="U25" s="1491">
        <f t="shared" ref="U25:U28" si="15">IF($H25&gt;=0,0,"r40,F15,c40&gt;=0")</f>
        <v>0</v>
      </c>
      <c r="V25" s="1491">
        <f t="shared" ref="V25:V28" si="16">IF($I25&gt;=0,0,"r40,F15,c50&gt;=0")</f>
        <v>0</v>
      </c>
      <c r="W25" s="1491">
        <f t="shared" ref="W25:W28" si="17">IF($J25&gt;=0,0,"r40,F15,c60&gt;=0")</f>
        <v>0</v>
      </c>
      <c r="X25" s="1491">
        <f t="shared" ref="X25:X28" si="18">IF($K25&gt;=0,0,"r40,F15,c70&gt;=0")</f>
        <v>0</v>
      </c>
      <c r="Y25" s="1491">
        <f t="shared" ref="Y25:Y28" si="19">IF($L25&gt;=0,0,"r40,F15,c80&gt;=0")</f>
        <v>0</v>
      </c>
      <c r="Z25" s="1491">
        <f t="shared" ref="Z25:Z28" si="20">IF($M25&gt;=0,0,"r40,F15,c90&gt;=0")</f>
        <v>0</v>
      </c>
      <c r="AA25" s="1491">
        <f t="shared" ref="AA25:AA28" si="21">IF($O25&gt;=0,0,"r40,F15,c110&gt;=0")</f>
        <v>0</v>
      </c>
    </row>
    <row r="26" spans="1:27" s="108" customFormat="1" ht="12" customHeight="1">
      <c r="A26" s="1156" t="str">
        <f t="shared" si="1"/>
        <v>F-15.00_092</v>
      </c>
      <c r="B26" s="1543" t="s">
        <v>1809</v>
      </c>
      <c r="C26" s="8" t="s">
        <v>59</v>
      </c>
      <c r="D26" s="14" t="s">
        <v>60</v>
      </c>
      <c r="E26" s="1854"/>
      <c r="F26" s="1854"/>
      <c r="G26" s="1854"/>
      <c r="H26" s="1854"/>
      <c r="I26" s="1854"/>
      <c r="J26" s="1854"/>
      <c r="K26" s="1854"/>
      <c r="L26" s="1854"/>
      <c r="M26" s="1854"/>
      <c r="N26" s="681"/>
      <c r="O26" s="1854"/>
      <c r="P26" s="815">
        <f>IF($E26&gt;=SUM($F26+$G26),0,"r92,c10&gt;=c20+c30")</f>
        <v>0</v>
      </c>
      <c r="Q26" s="815">
        <f>IF($H26&gt;=SUM($I26+$J26),0,"r92,c40&gt;=c50 + c60")</f>
        <v>0</v>
      </c>
      <c r="R26" s="1491">
        <f t="shared" si="12"/>
        <v>0</v>
      </c>
      <c r="S26" s="1491">
        <f t="shared" si="13"/>
        <v>0</v>
      </c>
      <c r="T26" s="1491">
        <f t="shared" si="14"/>
        <v>0</v>
      </c>
      <c r="U26" s="1491">
        <f t="shared" si="15"/>
        <v>0</v>
      </c>
      <c r="V26" s="1491">
        <f t="shared" si="16"/>
        <v>0</v>
      </c>
      <c r="W26" s="1491">
        <f t="shared" si="17"/>
        <v>0</v>
      </c>
      <c r="X26" s="1491">
        <f t="shared" si="18"/>
        <v>0</v>
      </c>
      <c r="Y26" s="1491">
        <f t="shared" si="19"/>
        <v>0</v>
      </c>
      <c r="Z26" s="1491">
        <f t="shared" si="20"/>
        <v>0</v>
      </c>
      <c r="AA26" s="1491">
        <f t="shared" si="21"/>
        <v>0</v>
      </c>
    </row>
    <row r="27" spans="1:27" s="108" customFormat="1" ht="12" customHeight="1">
      <c r="A27" s="1156" t="str">
        <f t="shared" si="1"/>
        <v>F-15.00_093</v>
      </c>
      <c r="B27" s="1543" t="s">
        <v>1810</v>
      </c>
      <c r="C27" s="8" t="s">
        <v>55</v>
      </c>
      <c r="D27" s="14" t="s">
        <v>595</v>
      </c>
      <c r="E27" s="1853"/>
      <c r="F27" s="1853"/>
      <c r="G27" s="1853"/>
      <c r="H27" s="1853"/>
      <c r="I27" s="1853"/>
      <c r="J27" s="1853"/>
      <c r="K27" s="1853"/>
      <c r="L27" s="1853"/>
      <c r="M27" s="1853"/>
      <c r="N27" s="681"/>
      <c r="O27" s="1853"/>
      <c r="P27" s="815">
        <f>IF($E27&gt;=SUM($F27+$G27),0,"r93,c10&gt;=c20+c30")</f>
        <v>0</v>
      </c>
      <c r="Q27" s="815">
        <f>IF($H27&gt;=SUM($I27+$J27),0,"r93,c40&gt;=c50 + c60")</f>
        <v>0</v>
      </c>
      <c r="R27" s="1491">
        <f t="shared" si="12"/>
        <v>0</v>
      </c>
      <c r="S27" s="1491">
        <f t="shared" si="13"/>
        <v>0</v>
      </c>
      <c r="T27" s="1491">
        <f t="shared" si="14"/>
        <v>0</v>
      </c>
      <c r="U27" s="1491">
        <f t="shared" si="15"/>
        <v>0</v>
      </c>
      <c r="V27" s="1491">
        <f t="shared" si="16"/>
        <v>0</v>
      </c>
      <c r="W27" s="1491">
        <f t="shared" si="17"/>
        <v>0</v>
      </c>
      <c r="X27" s="1491">
        <f t="shared" si="18"/>
        <v>0</v>
      </c>
      <c r="Y27" s="1491">
        <f t="shared" si="19"/>
        <v>0</v>
      </c>
      <c r="Z27" s="1491">
        <f t="shared" si="20"/>
        <v>0</v>
      </c>
      <c r="AA27" s="1491">
        <f t="shared" si="21"/>
        <v>0</v>
      </c>
    </row>
    <row r="28" spans="1:27" s="108" customFormat="1" ht="12" customHeight="1">
      <c r="A28" s="1156" t="str">
        <f t="shared" si="1"/>
        <v>F-15.00_094</v>
      </c>
      <c r="B28" s="1543" t="s">
        <v>1811</v>
      </c>
      <c r="C28" s="8" t="s">
        <v>61</v>
      </c>
      <c r="D28" s="14" t="s">
        <v>1576</v>
      </c>
      <c r="E28" s="1853"/>
      <c r="F28" s="1853"/>
      <c r="G28" s="1853"/>
      <c r="H28" s="1853"/>
      <c r="I28" s="1853"/>
      <c r="J28" s="1853"/>
      <c r="K28" s="1853"/>
      <c r="L28" s="1853"/>
      <c r="M28" s="1853"/>
      <c r="N28" s="681"/>
      <c r="O28" s="1853"/>
      <c r="P28" s="815">
        <f>IF($E28&gt;=SUM($F28+$G28),0,"r94,c10&gt;=c20+c30")</f>
        <v>0</v>
      </c>
      <c r="Q28" s="815">
        <f>IF($H28&gt;=SUM($I28+$J28),0,"r94,c40&gt;=c50 + c60")</f>
        <v>0</v>
      </c>
      <c r="R28" s="1491">
        <f t="shared" si="12"/>
        <v>0</v>
      </c>
      <c r="S28" s="1491">
        <f t="shared" si="13"/>
        <v>0</v>
      </c>
      <c r="T28" s="1491">
        <f t="shared" si="14"/>
        <v>0</v>
      </c>
      <c r="U28" s="1491">
        <f t="shared" si="15"/>
        <v>0</v>
      </c>
      <c r="V28" s="1491">
        <f t="shared" si="16"/>
        <v>0</v>
      </c>
      <c r="W28" s="1491">
        <f t="shared" si="17"/>
        <v>0</v>
      </c>
      <c r="X28" s="1491">
        <f t="shared" si="18"/>
        <v>0</v>
      </c>
      <c r="Y28" s="1491">
        <f t="shared" si="19"/>
        <v>0</v>
      </c>
      <c r="Z28" s="1491">
        <f t="shared" si="20"/>
        <v>0</v>
      </c>
      <c r="AA28" s="1491">
        <f t="shared" si="21"/>
        <v>0</v>
      </c>
    </row>
    <row r="29" spans="1:27" s="108" customFormat="1" ht="12" customHeight="1">
      <c r="A29" s="1156" t="str">
        <f t="shared" si="1"/>
        <v>F-15.00_131</v>
      </c>
      <c r="B29" s="1780">
        <v>131</v>
      </c>
      <c r="C29" s="1506" t="s">
        <v>1572</v>
      </c>
      <c r="D29" s="14" t="s">
        <v>1812</v>
      </c>
      <c r="E29" s="1854"/>
      <c r="F29" s="1854"/>
      <c r="G29" s="1854"/>
      <c r="H29" s="1854"/>
      <c r="I29" s="1854"/>
      <c r="J29" s="1854"/>
      <c r="K29" s="1854"/>
      <c r="L29" s="1854"/>
      <c r="M29" s="1854"/>
      <c r="N29" s="682"/>
      <c r="O29" s="1854"/>
      <c r="P29" s="815">
        <f>IF($E29&gt;=SUM($F29+$G29),0,"131,c10&gt;=c20+c30")</f>
        <v>0</v>
      </c>
      <c r="Q29" s="815">
        <f>IF($H29&gt;=SUM($I29+$J29),0,"r131,c40&gt;=c50 + c60")</f>
        <v>0</v>
      </c>
      <c r="R29" s="1491"/>
      <c r="S29" s="1491">
        <f t="shared" ref="S29:S31" si="22">IF($F29&gt;=0,0,"r40,F15,c20&gt;=0")</f>
        <v>0</v>
      </c>
      <c r="T29" s="1491">
        <f t="shared" ref="T29:T31" si="23">IF($G29&gt;=0,0,"r40,F15,c30&gt;=0")</f>
        <v>0</v>
      </c>
      <c r="U29" s="1491">
        <f t="shared" ref="U29:U31" si="24">IF($H29&gt;=0,0,"r40,F15,c40&gt;=0")</f>
        <v>0</v>
      </c>
      <c r="V29" s="1491">
        <f t="shared" ref="V29:V31" si="25">IF($I29&gt;=0,0,"r40,F15,c50&gt;=0")</f>
        <v>0</v>
      </c>
      <c r="W29" s="1491">
        <f t="shared" ref="W29:W31" si="26">IF($J29&gt;=0,0,"r40,F15,c60&gt;=0")</f>
        <v>0</v>
      </c>
      <c r="X29" s="1491">
        <f t="shared" ref="X29:X31" si="27">IF($K29&gt;=0,0,"r40,F15,c70&gt;=0")</f>
        <v>0</v>
      </c>
      <c r="Y29" s="1491">
        <f t="shared" ref="Y29:Y31" si="28">IF($L29&gt;=0,0,"r40,F15,c80&gt;=0")</f>
        <v>0</v>
      </c>
      <c r="Z29" s="1491">
        <f t="shared" ref="Z29:Z31" si="29">IF($M29&gt;=0,0,"r40,F15,c90&gt;=0")</f>
        <v>0</v>
      </c>
      <c r="AA29" s="1491">
        <f t="shared" ref="AA29:AA31" si="30">IF($O29&gt;=0,0,"r40,F15,c110&gt;=0")</f>
        <v>0</v>
      </c>
    </row>
    <row r="30" spans="1:27" s="108" customFormat="1" ht="12" customHeight="1">
      <c r="A30" s="1156" t="str">
        <f t="shared" si="1"/>
        <v>F-15.00_132</v>
      </c>
      <c r="B30" s="1543">
        <v>132</v>
      </c>
      <c r="C30" s="8" t="s">
        <v>55</v>
      </c>
      <c r="D30" s="14" t="s">
        <v>595</v>
      </c>
      <c r="E30" s="1855"/>
      <c r="F30" s="1853"/>
      <c r="G30" s="1853"/>
      <c r="H30" s="1853"/>
      <c r="I30" s="1853"/>
      <c r="J30" s="1853"/>
      <c r="K30" s="1853"/>
      <c r="L30" s="1853"/>
      <c r="M30" s="1853"/>
      <c r="N30" s="682"/>
      <c r="O30" s="1853"/>
      <c r="P30" s="815">
        <f>IF($E30&gt;=SUM($F30+$G30),0,"r132,c10&gt;=c20+c30")</f>
        <v>0</v>
      </c>
      <c r="Q30" s="815">
        <f>IF($H30&gt;=SUM($I30+$J30),0,"r132,c40&gt;=c50 + c60")</f>
        <v>0</v>
      </c>
      <c r="R30" s="1491"/>
      <c r="S30" s="1491">
        <f t="shared" si="22"/>
        <v>0</v>
      </c>
      <c r="T30" s="1491">
        <f t="shared" si="23"/>
        <v>0</v>
      </c>
      <c r="U30" s="1491">
        <f t="shared" si="24"/>
        <v>0</v>
      </c>
      <c r="V30" s="1491">
        <f t="shared" si="25"/>
        <v>0</v>
      </c>
      <c r="W30" s="1491">
        <f t="shared" si="26"/>
        <v>0</v>
      </c>
      <c r="X30" s="1491">
        <f t="shared" si="27"/>
        <v>0</v>
      </c>
      <c r="Y30" s="1491">
        <f t="shared" si="28"/>
        <v>0</v>
      </c>
      <c r="Z30" s="1491">
        <f t="shared" si="29"/>
        <v>0</v>
      </c>
      <c r="AA30" s="1491">
        <f t="shared" si="30"/>
        <v>0</v>
      </c>
    </row>
    <row r="31" spans="1:27" s="108" customFormat="1" ht="12" customHeight="1">
      <c r="A31" s="1156" t="str">
        <f t="shared" si="1"/>
        <v>F-15.00_133</v>
      </c>
      <c r="B31" s="1543">
        <v>133</v>
      </c>
      <c r="C31" s="8" t="s">
        <v>61</v>
      </c>
      <c r="D31" s="14" t="s">
        <v>1576</v>
      </c>
      <c r="E31" s="1855"/>
      <c r="F31" s="1853"/>
      <c r="G31" s="1853"/>
      <c r="H31" s="1853"/>
      <c r="I31" s="1853"/>
      <c r="J31" s="1853"/>
      <c r="K31" s="1853"/>
      <c r="L31" s="1853"/>
      <c r="M31" s="1853"/>
      <c r="N31" s="682"/>
      <c r="O31" s="1853"/>
      <c r="P31" s="815">
        <f>IF($E31&gt;=SUM($F31+$G31),0,"r133,c10&gt;=c20+c30")</f>
        <v>0</v>
      </c>
      <c r="Q31" s="815">
        <f>IF($H31&gt;=SUM($I31+$J31),0,"r133,c40&gt;=c50 + c60")</f>
        <v>0</v>
      </c>
      <c r="R31" s="1491"/>
      <c r="S31" s="1491">
        <f t="shared" si="22"/>
        <v>0</v>
      </c>
      <c r="T31" s="1491">
        <f t="shared" si="23"/>
        <v>0</v>
      </c>
      <c r="U31" s="1491">
        <f t="shared" si="24"/>
        <v>0</v>
      </c>
      <c r="V31" s="1491">
        <f t="shared" si="25"/>
        <v>0</v>
      </c>
      <c r="W31" s="1491">
        <f t="shared" si="26"/>
        <v>0</v>
      </c>
      <c r="X31" s="1491">
        <f t="shared" si="27"/>
        <v>0</v>
      </c>
      <c r="Y31" s="1491">
        <f t="shared" si="28"/>
        <v>0</v>
      </c>
      <c r="Z31" s="1491">
        <f t="shared" si="29"/>
        <v>0</v>
      </c>
      <c r="AA31" s="1491">
        <f t="shared" si="30"/>
        <v>0</v>
      </c>
    </row>
    <row r="32" spans="1:27" s="108" customFormat="1">
      <c r="A32" s="1156" t="str">
        <f t="shared" si="1"/>
        <v>F-15.00_190</v>
      </c>
      <c r="B32" s="376">
        <v>190</v>
      </c>
      <c r="C32" s="97" t="s">
        <v>82</v>
      </c>
      <c r="D32" s="79"/>
      <c r="E32" s="1856"/>
      <c r="F32" s="1856"/>
      <c r="G32" s="1856"/>
      <c r="H32" s="1856"/>
      <c r="I32" s="1856"/>
      <c r="J32" s="1856"/>
      <c r="K32" s="1856"/>
      <c r="L32" s="1856"/>
      <c r="M32" s="1856"/>
      <c r="N32" s="1856"/>
      <c r="O32" s="1856"/>
      <c r="P32" s="815">
        <f>IF($E$32&gt;=SUM($F$32+$G$32),0,"r190,c10&gt;=c20+c30")</f>
        <v>0</v>
      </c>
      <c r="Q32" s="815">
        <f>IF($H$32&gt;=SUM($I$32+$J$32),0,"r190,c40&gt;=c50 + c60")</f>
        <v>0</v>
      </c>
      <c r="R32" s="962">
        <f>IF($E$32&gt;=0,0,"r190,F15,c10&gt;=0")</f>
        <v>0</v>
      </c>
      <c r="S32" s="962">
        <f>IF($F$32&gt;=0,0,"r190,F15,c20&gt;=0")</f>
        <v>0</v>
      </c>
      <c r="T32" s="962">
        <f>IF($G$32&gt;=0,0,"r190,F15,c30&gt;=0")</f>
        <v>0</v>
      </c>
      <c r="U32" s="962">
        <f>IF($H$32&gt;=0,0,"r190,F15,c40&gt;=0")</f>
        <v>0</v>
      </c>
      <c r="V32" s="962">
        <f>IF($I$32&gt;=0,0,"r190,F15,c50&gt;=0")</f>
        <v>0</v>
      </c>
      <c r="W32" s="962">
        <f>IF($J$32&gt;=0,0,"r190,F15,c60&gt;=0")</f>
        <v>0</v>
      </c>
      <c r="X32" s="962">
        <f>IF($K$32&gt;=0,0,"r190,F15,c70&gt;=0")</f>
        <v>0</v>
      </c>
      <c r="Y32" s="962">
        <f>IF($L$32&gt;=0,0,"r190,F15,c80&gt;=0")</f>
        <v>0</v>
      </c>
      <c r="Z32" s="962">
        <f>IF($M$32&gt;=0,0,"r190,F15,c90&gt;=0")</f>
        <v>0</v>
      </c>
      <c r="AA32" s="962">
        <f>IF($O$32&gt;=0,0,"r190,F15,c110&gt;=0")</f>
        <v>0</v>
      </c>
    </row>
    <row r="33" spans="1:17" s="108" customFormat="1">
      <c r="A33" s="1100" t="s">
        <v>718</v>
      </c>
      <c r="B33" s="62"/>
      <c r="C33" s="62"/>
      <c r="D33" s="111"/>
      <c r="E33" s="110"/>
      <c r="F33" s="110"/>
      <c r="G33" s="110"/>
      <c r="H33" s="2098"/>
      <c r="I33" s="2098"/>
      <c r="J33" s="2098"/>
      <c r="K33" s="2098"/>
      <c r="L33" s="2098"/>
      <c r="M33" s="110"/>
      <c r="N33" s="825">
        <f>IF($N$32&gt;=0,0,"F15,c100,r190&gt;=0")</f>
        <v>0</v>
      </c>
      <c r="O33" s="112"/>
      <c r="Q33" s="112"/>
    </row>
    <row r="34" spans="1:17">
      <c r="A34" s="1100" t="s">
        <v>718</v>
      </c>
      <c r="D34" s="112"/>
      <c r="I34" s="112"/>
      <c r="O34" s="112"/>
    </row>
    <row r="35" spans="1:17">
      <c r="A35" s="1156" t="s">
        <v>724</v>
      </c>
      <c r="D35" s="24"/>
      <c r="E35" s="24"/>
      <c r="O35" s="112"/>
    </row>
    <row r="36" spans="1:17">
      <c r="D36" s="24"/>
      <c r="E36" s="24"/>
    </row>
    <row r="37" spans="1:17">
      <c r="D37" s="24"/>
      <c r="E37" s="24"/>
    </row>
    <row r="38" spans="1:17">
      <c r="D38" s="24"/>
      <c r="E38" s="24"/>
    </row>
  </sheetData>
  <sheetProtection password="C2F4" sheet="1" objects="1" scenarios="1"/>
  <mergeCells count="11">
    <mergeCell ref="H33:L33"/>
    <mergeCell ref="N9:N11"/>
    <mergeCell ref="O9:O11"/>
    <mergeCell ref="C9:C11"/>
    <mergeCell ref="E9:J9"/>
    <mergeCell ref="K9:M9"/>
    <mergeCell ref="E10:G10"/>
    <mergeCell ref="H10:J10"/>
    <mergeCell ref="K10:K11"/>
    <mergeCell ref="L10:L11"/>
    <mergeCell ref="M10:M11"/>
  </mergeCells>
  <dataValidations count="1">
    <dataValidation type="whole" allowBlank="1" showInputMessage="1" showErrorMessage="1" error="Wrong number format or sign" sqref="N32 E14:M32 O14:O32">
      <formula1>0</formula1>
      <formula2>99999999</formula2>
    </dataValidation>
  </dataValidations>
  <printOptions horizontalCentered="1" headings="1" gridLines="1"/>
  <pageMargins left="0.19685039370078741" right="0.19685039370078741" top="0.19685039370078741" bottom="0.23622047244094491" header="0.15748031496062992" footer="0.15748031496062992"/>
  <pageSetup paperSize="9" scale="62" fitToWidth="2" orientation="landscape" cellComments="asDisplayed" r:id="rId1"/>
  <headerFooter scaleWithDoc="0" alignWithMargins="0"/>
  <colBreaks count="1" manualBreakCount="1">
    <brk id="15" min="6" max="43" man="1"/>
  </colBreaks>
  <ignoredErrors>
    <ignoredError sqref="E13:O13 B32 B14:B17 B22 B23:B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zoomScaleNormal="100" workbookViewId="0"/>
  </sheetViews>
  <sheetFormatPr defaultRowHeight="12.75"/>
  <cols>
    <col min="1" max="1" width="2" customWidth="1"/>
    <col min="2" max="2" width="73.42578125" bestFit="1" customWidth="1"/>
  </cols>
  <sheetData>
    <row r="1" spans="1:2">
      <c r="B1" s="1766" t="s">
        <v>2214</v>
      </c>
    </row>
    <row r="2" spans="1:2" ht="5.25" customHeight="1">
      <c r="B2" s="1766"/>
    </row>
    <row r="3" spans="1:2">
      <c r="A3" s="1631"/>
      <c r="B3" s="1772" t="s">
        <v>2235</v>
      </c>
    </row>
    <row r="4" spans="1:2">
      <c r="B4" s="1773" t="s">
        <v>2141</v>
      </c>
    </row>
    <row r="5" spans="1:2">
      <c r="B5" s="1774" t="s">
        <v>2142</v>
      </c>
    </row>
    <row r="6" spans="1:2">
      <c r="B6" s="1775" t="s">
        <v>2143</v>
      </c>
    </row>
    <row r="7" spans="1:2">
      <c r="B7" s="1776" t="s">
        <v>2144</v>
      </c>
    </row>
    <row r="8" spans="1:2">
      <c r="B8" s="1777" t="s">
        <v>2145</v>
      </c>
    </row>
    <row r="9" spans="1:2">
      <c r="B9" s="1778" t="s">
        <v>2234</v>
      </c>
    </row>
    <row r="10" spans="1:2">
      <c r="B10" s="1779" t="s">
        <v>2215</v>
      </c>
    </row>
    <row r="11" spans="1:2" ht="8.25" customHeight="1">
      <c r="B11" s="1767"/>
    </row>
    <row r="12" spans="1:2">
      <c r="B12" s="1768" t="s">
        <v>2216</v>
      </c>
    </row>
  </sheetData>
  <sheetProtection password="C2F4" sheet="1" objects="1" scenario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O200"/>
  <sheetViews>
    <sheetView topLeftCell="B6" zoomScaleNormal="100" zoomScaleSheetLayoutView="100" workbookViewId="0">
      <selection activeCell="B6" sqref="B6"/>
    </sheetView>
  </sheetViews>
  <sheetFormatPr defaultColWidth="9.140625" defaultRowHeight="12.75"/>
  <cols>
    <col min="1" max="1" width="13.5703125" style="1156" hidden="1" customWidth="1"/>
    <col min="2" max="2" width="5" style="130" bestFit="1" customWidth="1"/>
    <col min="3" max="3" width="84" style="130" bestFit="1" customWidth="1"/>
    <col min="4" max="4" width="20" style="130" customWidth="1"/>
    <col min="5" max="5" width="12.5703125" style="130" customWidth="1"/>
    <col min="6" max="6" width="13.140625" style="130" customWidth="1"/>
    <col min="7" max="7" width="14" style="130" customWidth="1"/>
    <col min="8" max="8" width="13.140625" style="130" customWidth="1"/>
    <col min="9" max="10" width="13.42578125" style="130" customWidth="1"/>
    <col min="11" max="11" width="13.85546875" style="130" customWidth="1"/>
    <col min="12" max="12" width="10.7109375" style="130" customWidth="1"/>
    <col min="13" max="16384" width="9.140625" style="130"/>
  </cols>
  <sheetData>
    <row r="1" spans="1:15" s="1097" customFormat="1" ht="18" hidden="1" customHeight="1">
      <c r="A1" s="1096" t="s">
        <v>1248</v>
      </c>
      <c r="B1" s="1118">
        <v>2</v>
      </c>
      <c r="C1" s="1118">
        <v>1</v>
      </c>
      <c r="D1" s="1119">
        <v>14</v>
      </c>
      <c r="E1" s="1182">
        <v>5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15" s="1097" customFormat="1" ht="18" hidden="1" customHeight="1">
      <c r="A2" s="1096" t="str">
        <f>Index!$A$2</f>
        <v>V20181222</v>
      </c>
      <c r="B2" s="1098"/>
      <c r="C2" s="1099"/>
      <c r="D2" s="1100"/>
      <c r="E2" s="1100" t="str">
        <f>$A$1&amp;"_"&amp;E13</f>
        <v>F-16.01_010</v>
      </c>
      <c r="F2" s="1100" t="str">
        <f>$A$1&amp;"_"&amp;F13</f>
        <v>F-16.01_020</v>
      </c>
      <c r="G2" s="1100"/>
      <c r="H2" s="1100"/>
      <c r="I2" s="1100"/>
      <c r="J2" s="1100"/>
      <c r="K2" s="1100"/>
      <c r="L2" s="1100"/>
      <c r="M2" s="1100"/>
      <c r="N2" s="1101"/>
    </row>
    <row r="3" spans="1:15" s="1097" customFormat="1" ht="18" hidden="1" customHeight="1">
      <c r="A3" s="1096" t="str">
        <f>"R:A1:P"&amp;ROW(A188)+1</f>
        <v>R:A1:P189</v>
      </c>
      <c r="B3" s="1102"/>
      <c r="C3" s="1103"/>
      <c r="D3" s="1104"/>
      <c r="E3" s="1105"/>
      <c r="F3" s="1106"/>
      <c r="G3" s="1107"/>
      <c r="H3" s="1107"/>
      <c r="I3" s="1107"/>
      <c r="J3" s="1107"/>
      <c r="K3" s="1107"/>
    </row>
    <row r="4" spans="1:15" s="1097" customFormat="1" ht="18" hidden="1" customHeight="1">
      <c r="A4" s="1096"/>
      <c r="B4" s="1102"/>
      <c r="C4" s="1103"/>
      <c r="D4" s="1108"/>
      <c r="E4" s="1109"/>
      <c r="F4" s="1110"/>
      <c r="G4" s="1111">
        <f>N5</f>
        <v>0</v>
      </c>
      <c r="H4" s="1107"/>
      <c r="I4" s="1107"/>
      <c r="J4" s="1107"/>
      <c r="K4" s="1107"/>
    </row>
    <row r="5" spans="1:15" s="1097" customFormat="1" ht="18" hidden="1" customHeight="1">
      <c r="A5" s="1096"/>
      <c r="B5" s="1102"/>
      <c r="C5" s="1103"/>
      <c r="D5" s="1112"/>
      <c r="E5" s="1113"/>
      <c r="F5" s="1114"/>
      <c r="N5" s="1097">
        <f>COUNTIF(G14:H41,"&lt;&gt;0")-COUNTBLANK(G14:H41)+COUNTIF(E43:H44,"&lt;&gt;0")-COUNTBLANK(E43:H44)</f>
        <v>0</v>
      </c>
    </row>
    <row r="6" spans="1:15" s="1116" customFormat="1">
      <c r="A6" s="1100" t="s">
        <v>718</v>
      </c>
      <c r="B6" s="1115"/>
    </row>
    <row r="7" spans="1:15">
      <c r="A7" s="1100" t="s">
        <v>718</v>
      </c>
      <c r="B7" s="129" t="s">
        <v>573</v>
      </c>
    </row>
    <row r="8" spans="1:15">
      <c r="A8" s="1100" t="s">
        <v>718</v>
      </c>
      <c r="B8" s="158"/>
    </row>
    <row r="9" spans="1:15">
      <c r="A9" s="1100" t="s">
        <v>718</v>
      </c>
      <c r="B9" s="131" t="s">
        <v>676</v>
      </c>
      <c r="D9" s="588"/>
      <c r="E9" s="131"/>
      <c r="F9" s="131"/>
    </row>
    <row r="10" spans="1:15">
      <c r="A10" s="1100" t="s">
        <v>718</v>
      </c>
      <c r="C10" s="158"/>
      <c r="E10" s="2103" t="s">
        <v>54</v>
      </c>
      <c r="F10" s="2104"/>
    </row>
    <row r="11" spans="1:15" ht="12.75" customHeight="1">
      <c r="A11" s="1100" t="s">
        <v>718</v>
      </c>
      <c r="B11" s="524"/>
      <c r="C11" s="525"/>
      <c r="D11" s="1989" t="s">
        <v>551</v>
      </c>
      <c r="E11" s="526" t="s">
        <v>210</v>
      </c>
      <c r="F11" s="526" t="s">
        <v>211</v>
      </c>
    </row>
    <row r="12" spans="1:15" ht="26.25" customHeight="1">
      <c r="A12" s="1100" t="s">
        <v>718</v>
      </c>
      <c r="B12" s="527"/>
      <c r="C12" s="528"/>
      <c r="D12" s="2102"/>
      <c r="E12" s="529" t="s">
        <v>1766</v>
      </c>
      <c r="F12" s="529" t="s">
        <v>1767</v>
      </c>
      <c r="G12" s="1084"/>
      <c r="H12" s="1084"/>
      <c r="I12" s="1084"/>
    </row>
    <row r="13" spans="1:15">
      <c r="B13" s="530"/>
      <c r="C13" s="531"/>
      <c r="D13" s="532"/>
      <c r="E13" s="533" t="s">
        <v>292</v>
      </c>
      <c r="F13" s="533" t="s">
        <v>293</v>
      </c>
      <c r="G13" s="1084"/>
      <c r="H13" s="1084"/>
      <c r="I13" s="1084"/>
    </row>
    <row r="14" spans="1:15" ht="32.25">
      <c r="A14" s="1156" t="str">
        <f t="shared" ref="A14:A42" si="0">$A$1&amp;"_"&amp;B14</f>
        <v>F-16.01_010</v>
      </c>
      <c r="B14" s="360" t="s">
        <v>292</v>
      </c>
      <c r="C14" s="189" t="s">
        <v>553</v>
      </c>
      <c r="D14" s="144" t="s">
        <v>1761</v>
      </c>
      <c r="E14" s="1958"/>
      <c r="F14" s="1958"/>
      <c r="G14" s="1086">
        <f>IF($E$14&gt;=0,0,"f16.1.a&gt;=0")</f>
        <v>0</v>
      </c>
      <c r="H14" s="1086">
        <f>IF($F$14&gt;=0,0,"f16.01.a&gt;=0")</f>
        <v>0</v>
      </c>
      <c r="I14" s="1084"/>
    </row>
    <row r="15" spans="1:15">
      <c r="A15" s="1156" t="str">
        <f t="shared" si="0"/>
        <v>F-16.01_015</v>
      </c>
      <c r="B15" s="362" t="s">
        <v>1571</v>
      </c>
      <c r="C15" s="1769" t="s">
        <v>1757</v>
      </c>
      <c r="D15" s="167" t="s">
        <v>1758</v>
      </c>
      <c r="E15" s="1474"/>
      <c r="F15" s="1474"/>
      <c r="G15" s="1471">
        <f>IF($E$15&gt;=0,0,"f16.1.a&gt;=0")</f>
        <v>0</v>
      </c>
      <c r="H15" s="1471">
        <f>IF($F$15&gt;=0,0,"f16.01.a&gt;=0")</f>
        <v>0</v>
      </c>
      <c r="I15" s="1084"/>
    </row>
    <row r="16" spans="1:15" ht="21.75">
      <c r="A16" s="1156" t="str">
        <f t="shared" si="0"/>
        <v>F-16.01_020</v>
      </c>
      <c r="B16" s="361" t="s">
        <v>293</v>
      </c>
      <c r="C16" s="132" t="s">
        <v>55</v>
      </c>
      <c r="D16" s="167" t="s">
        <v>1712</v>
      </c>
      <c r="E16" s="707">
        <f>SUM($E$17:$E$21)</f>
        <v>0</v>
      </c>
      <c r="F16" s="707">
        <f>SUM($F$17:$F$21)</f>
        <v>0</v>
      </c>
      <c r="G16" s="1086">
        <f>IF($E$16&gt;=0,0,"f16.1.a&gt;=0")</f>
        <v>0</v>
      </c>
      <c r="H16" s="1086">
        <f>IF($F$16&gt;=0,0,"f16.01.a&gt;=0")</f>
        <v>0</v>
      </c>
      <c r="I16" s="1084"/>
    </row>
    <row r="17" spans="1:9">
      <c r="A17" s="1156" t="str">
        <f t="shared" si="0"/>
        <v>F-16.01_030</v>
      </c>
      <c r="B17" s="362" t="s">
        <v>294</v>
      </c>
      <c r="C17" s="41" t="s">
        <v>99</v>
      </c>
      <c r="D17" s="145" t="s">
        <v>1713</v>
      </c>
      <c r="E17" s="1474"/>
      <c r="F17" s="1474"/>
      <c r="G17" s="1086">
        <f>IF($E$17&gt;=0,0,"f16.1.a&gt;=0")</f>
        <v>0</v>
      </c>
      <c r="H17" s="1086">
        <f>IF($F$17&gt;=0,0,"f16.01.a&gt;=0")</f>
        <v>0</v>
      </c>
      <c r="I17" s="1084"/>
    </row>
    <row r="18" spans="1:9">
      <c r="A18" s="1156" t="str">
        <f t="shared" si="0"/>
        <v>F-16.01_040</v>
      </c>
      <c r="B18" s="362" t="s">
        <v>295</v>
      </c>
      <c r="C18" s="41" t="s">
        <v>100</v>
      </c>
      <c r="D18" s="145" t="s">
        <v>1714</v>
      </c>
      <c r="E18" s="1474"/>
      <c r="F18" s="1474"/>
      <c r="G18" s="1086">
        <f>IF($E$18&gt;=0,0,"f16.1.a&gt;=0")</f>
        <v>0</v>
      </c>
      <c r="H18" s="1086">
        <f>IF($F$18&gt;=0,0,"f16.01.a&gt;=0")</f>
        <v>0</v>
      </c>
      <c r="I18" s="1084"/>
    </row>
    <row r="19" spans="1:9">
      <c r="A19" s="1156" t="str">
        <f t="shared" si="0"/>
        <v>F-16.01_050</v>
      </c>
      <c r="B19" s="363" t="s">
        <v>296</v>
      </c>
      <c r="C19" s="41" t="s">
        <v>101</v>
      </c>
      <c r="D19" s="145" t="s">
        <v>1709</v>
      </c>
      <c r="E19" s="1474"/>
      <c r="F19" s="1474"/>
      <c r="G19" s="1086">
        <f>IF($E$19&gt;=0,0,"f16.1.a&gt;=0")</f>
        <v>0</v>
      </c>
      <c r="H19" s="1086">
        <f>IF($F$19&gt;=0,0,"f16.01.a&gt;=0")</f>
        <v>0</v>
      </c>
      <c r="I19" s="1084"/>
    </row>
    <row r="20" spans="1:9">
      <c r="A20" s="1156" t="str">
        <f t="shared" si="0"/>
        <v>F-16.01_060</v>
      </c>
      <c r="B20" s="361" t="s">
        <v>297</v>
      </c>
      <c r="C20" s="41" t="s">
        <v>102</v>
      </c>
      <c r="D20" s="145" t="s">
        <v>1710</v>
      </c>
      <c r="E20" s="1474"/>
      <c r="F20" s="1474"/>
      <c r="G20" s="1086">
        <f>IF($E$20&gt;=0,0,"f16.1.a&gt;=0")</f>
        <v>0</v>
      </c>
      <c r="H20" s="1086">
        <f>IF($F$20&gt;=0,0,"f16.01.a&gt;=0")</f>
        <v>0</v>
      </c>
      <c r="I20" s="1084"/>
    </row>
    <row r="21" spans="1:9">
      <c r="A21" s="1156" t="str">
        <f t="shared" si="0"/>
        <v>F-16.01_070</v>
      </c>
      <c r="B21" s="363" t="s">
        <v>298</v>
      </c>
      <c r="C21" s="41" t="s">
        <v>127</v>
      </c>
      <c r="D21" s="145" t="s">
        <v>1711</v>
      </c>
      <c r="E21" s="1474"/>
      <c r="F21" s="1474"/>
      <c r="G21" s="1086">
        <f>IF($E$21&gt;=0,0,"f16.1.a&gt;=0")</f>
        <v>0</v>
      </c>
      <c r="H21" s="1086">
        <f>IF($F$21&gt;=0,0,"f16.01.a&gt;=0")</f>
        <v>0</v>
      </c>
      <c r="I21" s="1084"/>
    </row>
    <row r="22" spans="1:9" ht="21.75">
      <c r="A22" s="1156" t="str">
        <f t="shared" si="0"/>
        <v>F-16.01_080</v>
      </c>
      <c r="B22" s="368" t="s">
        <v>299</v>
      </c>
      <c r="C22" s="134" t="s">
        <v>61</v>
      </c>
      <c r="D22" s="145" t="s">
        <v>1715</v>
      </c>
      <c r="E22" s="1087">
        <f>SUM($E$23:$E$28)</f>
        <v>0</v>
      </c>
      <c r="F22" s="686">
        <f>SUM($F$23:$F$28)</f>
        <v>0</v>
      </c>
      <c r="G22" s="1471">
        <f>IF($E$22&gt;=0,0,"f16.1.a&gt;=0")</f>
        <v>0</v>
      </c>
      <c r="H22" s="1471">
        <f>IF($F$22&gt;=0,0,"f16.01.a&gt;=0")</f>
        <v>0</v>
      </c>
      <c r="I22" s="1084"/>
    </row>
    <row r="23" spans="1:9">
      <c r="A23" s="1156" t="str">
        <f t="shared" si="0"/>
        <v>F-16.01_090</v>
      </c>
      <c r="B23" s="362" t="s">
        <v>300</v>
      </c>
      <c r="C23" s="41" t="s">
        <v>99</v>
      </c>
      <c r="D23" s="167" t="s">
        <v>1713</v>
      </c>
      <c r="E23" s="1474"/>
      <c r="F23" s="1474"/>
      <c r="G23" s="1471">
        <f>IF($E$23&gt;=0,0,"f16.1.a&gt;=0")</f>
        <v>0</v>
      </c>
      <c r="H23" s="1471">
        <f>IF($F$23&gt;=0,0,"f16.01.a&gt;=0")</f>
        <v>0</v>
      </c>
      <c r="I23" s="1084"/>
    </row>
    <row r="24" spans="1:9">
      <c r="A24" s="1156" t="str">
        <f t="shared" si="0"/>
        <v>F-16.01_100</v>
      </c>
      <c r="B24" s="361" t="s">
        <v>301</v>
      </c>
      <c r="C24" s="41" t="s">
        <v>100</v>
      </c>
      <c r="D24" s="145" t="s">
        <v>1714</v>
      </c>
      <c r="E24" s="1474"/>
      <c r="F24" s="1474"/>
      <c r="G24" s="1471">
        <f>IF($E$24&gt;=0,0,"f16.1.a&gt;=0")</f>
        <v>0</v>
      </c>
      <c r="H24" s="1471">
        <f>IF($F$24&gt;=0,0,"f16.01.a&gt;=0")</f>
        <v>0</v>
      </c>
      <c r="I24" s="1084"/>
    </row>
    <row r="25" spans="1:9">
      <c r="A25" s="1156" t="str">
        <f t="shared" si="0"/>
        <v>F-16.01_110</v>
      </c>
      <c r="B25" s="362" t="s">
        <v>302</v>
      </c>
      <c r="C25" s="41" t="s">
        <v>101</v>
      </c>
      <c r="D25" s="145" t="s">
        <v>1709</v>
      </c>
      <c r="E25" s="1474"/>
      <c r="F25" s="1474"/>
      <c r="G25" s="1471">
        <f>IF($E$25&gt;=0,0,"f16.1.a&gt;=0")</f>
        <v>0</v>
      </c>
      <c r="H25" s="1471">
        <f>IF($F$25&gt;=0,0,"f16.01.a&gt;=0")</f>
        <v>0</v>
      </c>
      <c r="I25" s="1084"/>
    </row>
    <row r="26" spans="1:9">
      <c r="A26" s="1156" t="str">
        <f t="shared" si="0"/>
        <v>F-16.01_120</v>
      </c>
      <c r="B26" s="362" t="s">
        <v>303</v>
      </c>
      <c r="C26" s="41" t="s">
        <v>102</v>
      </c>
      <c r="D26" s="145" t="s">
        <v>1710</v>
      </c>
      <c r="E26" s="1474"/>
      <c r="F26" s="1474"/>
      <c r="G26" s="1471">
        <f>IF($E$26&gt;=0,0,"f16.1.a&gt;=0")</f>
        <v>0</v>
      </c>
      <c r="H26" s="1471">
        <f>IF($F$26&gt;=0,0,"f16.01.a&gt;=0")</f>
        <v>0</v>
      </c>
      <c r="I26" s="1084"/>
    </row>
    <row r="27" spans="1:9">
      <c r="A27" s="1156" t="str">
        <f t="shared" si="0"/>
        <v>F-16.01_130</v>
      </c>
      <c r="B27" s="363" t="s">
        <v>304</v>
      </c>
      <c r="C27" s="41" t="s">
        <v>127</v>
      </c>
      <c r="D27" s="145" t="s">
        <v>1711</v>
      </c>
      <c r="E27" s="1474"/>
      <c r="F27" s="1474"/>
      <c r="G27" s="1471">
        <f>IF($E$27&gt;=0,0,"f16.1.a&gt;=0")</f>
        <v>0</v>
      </c>
      <c r="H27" s="1471">
        <f>IF($F$27&gt;=0,0,"f16.01.a&gt;=0")</f>
        <v>0</v>
      </c>
      <c r="I27" s="1084"/>
    </row>
    <row r="28" spans="1:9">
      <c r="A28" s="1156" t="str">
        <f t="shared" si="0"/>
        <v>F-16.01_140</v>
      </c>
      <c r="B28" s="368" t="s">
        <v>305</v>
      </c>
      <c r="C28" s="41" t="s">
        <v>128</v>
      </c>
      <c r="D28" s="145" t="s">
        <v>1717</v>
      </c>
      <c r="E28" s="1474"/>
      <c r="F28" s="1474"/>
      <c r="G28" s="1471">
        <f>IF($E$28&gt;=0,0,"f16.1.a&gt;=0")</f>
        <v>0</v>
      </c>
      <c r="H28" s="1471">
        <f>IF($F$28&gt;=0,0,"f16.01.a&gt;=0")</f>
        <v>0</v>
      </c>
      <c r="I28" s="1084"/>
    </row>
    <row r="29" spans="1:9">
      <c r="A29" s="1156" t="str">
        <f t="shared" si="0"/>
        <v>F-16.01_150</v>
      </c>
      <c r="B29" s="361" t="s">
        <v>306</v>
      </c>
      <c r="C29" s="202" t="s">
        <v>137</v>
      </c>
      <c r="D29" s="609" t="s">
        <v>593</v>
      </c>
      <c r="E29" s="1474"/>
      <c r="F29" s="1474"/>
      <c r="G29" s="1471">
        <f>IF($E$29&gt;=0,0,"f16.1.a&gt;=0")</f>
        <v>0</v>
      </c>
      <c r="H29" s="1471">
        <f>IF($F$29&gt;=0,0,"f16.01.a&gt;=0")</f>
        <v>0</v>
      </c>
      <c r="I29" s="1084"/>
    </row>
    <row r="30" spans="1:9" ht="32.25">
      <c r="A30" s="1156" t="str">
        <f t="shared" si="0"/>
        <v>F-16.01_160</v>
      </c>
      <c r="B30" s="361" t="s">
        <v>307</v>
      </c>
      <c r="C30" s="188" t="s">
        <v>15</v>
      </c>
      <c r="D30" s="145" t="s">
        <v>1762</v>
      </c>
      <c r="E30" s="686">
        <f>SUM($E$31:$E$36)</f>
        <v>0</v>
      </c>
      <c r="F30" s="1087">
        <f>SUM($F$31:$F$36)</f>
        <v>0</v>
      </c>
      <c r="G30" s="1471">
        <f>IF($E$30&gt;=0,0,"f16.1.a&gt;=0")</f>
        <v>0</v>
      </c>
      <c r="H30" s="1471">
        <f>IF($F$30&gt;=0,0,"f16.1.a&gt;=0")</f>
        <v>0</v>
      </c>
      <c r="I30" s="1084"/>
    </row>
    <row r="31" spans="1:9">
      <c r="A31" s="1156" t="str">
        <f t="shared" si="0"/>
        <v>F-16.01_170</v>
      </c>
      <c r="B31" s="362" t="s">
        <v>308</v>
      </c>
      <c r="C31" s="41" t="s">
        <v>99</v>
      </c>
      <c r="D31" s="145" t="s">
        <v>1713</v>
      </c>
      <c r="E31" s="1474"/>
      <c r="F31" s="1474"/>
      <c r="G31" s="1471">
        <f>IF($E$31&gt;=0,0,"f16.1.a&gt;=0")</f>
        <v>0</v>
      </c>
      <c r="H31" s="1471">
        <f>IF($F$31&gt;=0,0,"f16.1.a&gt;=0")</f>
        <v>0</v>
      </c>
      <c r="I31" s="1084"/>
    </row>
    <row r="32" spans="1:9">
      <c r="A32" s="1156" t="str">
        <f t="shared" si="0"/>
        <v>F-16.01_180</v>
      </c>
      <c r="B32" s="362" t="s">
        <v>309</v>
      </c>
      <c r="C32" s="41" t="s">
        <v>100</v>
      </c>
      <c r="D32" s="145" t="s">
        <v>1714</v>
      </c>
      <c r="E32" s="1474"/>
      <c r="F32" s="1474"/>
      <c r="G32" s="1471">
        <f>IF($E$32&gt;=0,0,"f16.1.a&gt;=0")</f>
        <v>0</v>
      </c>
      <c r="H32" s="1471">
        <f>IF($F$32&gt;=0,0,"f16.1.a&gt;=0")</f>
        <v>0</v>
      </c>
      <c r="I32" s="1084"/>
    </row>
    <row r="33" spans="1:15">
      <c r="A33" s="1156" t="str">
        <f t="shared" si="0"/>
        <v>F-16.01_190</v>
      </c>
      <c r="B33" s="363" t="s">
        <v>310</v>
      </c>
      <c r="C33" s="41" t="s">
        <v>101</v>
      </c>
      <c r="D33" s="145" t="s">
        <v>1709</v>
      </c>
      <c r="E33" s="1474"/>
      <c r="F33" s="1474"/>
      <c r="G33" s="1471">
        <f>IF($E$33&gt;=0,0,"f16.1.a&gt;=0")</f>
        <v>0</v>
      </c>
      <c r="H33" s="1471">
        <f>IF($F$33&gt;=0,0,"f16.1.a&gt;=0")</f>
        <v>0</v>
      </c>
      <c r="I33" s="1084"/>
    </row>
    <row r="34" spans="1:15">
      <c r="A34" s="1156" t="str">
        <f t="shared" si="0"/>
        <v>F-16.01_200</v>
      </c>
      <c r="B34" s="361" t="s">
        <v>311</v>
      </c>
      <c r="C34" s="41" t="s">
        <v>102</v>
      </c>
      <c r="D34" s="145" t="s">
        <v>1710</v>
      </c>
      <c r="E34" s="1474"/>
      <c r="F34" s="1474"/>
      <c r="G34" s="1471">
        <f>IF($E$34&gt;=0,0,"f16.1.a&gt;=0")</f>
        <v>0</v>
      </c>
      <c r="H34" s="1471">
        <f>IF($F$34&gt;=0,0,"f16.1.a&gt;=0")</f>
        <v>0</v>
      </c>
      <c r="I34" s="1084"/>
    </row>
    <row r="35" spans="1:15">
      <c r="A35" s="1156" t="str">
        <f t="shared" si="0"/>
        <v>F-16.01_210</v>
      </c>
      <c r="B35" s="363" t="s">
        <v>312</v>
      </c>
      <c r="C35" s="41" t="s">
        <v>127</v>
      </c>
      <c r="D35" s="145" t="s">
        <v>1711</v>
      </c>
      <c r="E35" s="1474"/>
      <c r="F35" s="1474"/>
      <c r="G35" s="1471">
        <f>IF($E$35&gt;=0,0,"f16.1.a&gt;=0")</f>
        <v>0</v>
      </c>
      <c r="H35" s="1471">
        <f>IF($F$35&gt;=0,0,"f16.1.a&gt;=0")</f>
        <v>0</v>
      </c>
      <c r="I35" s="1084"/>
    </row>
    <row r="36" spans="1:15">
      <c r="A36" s="1156" t="str">
        <f t="shared" si="0"/>
        <v>F-16.01_220</v>
      </c>
      <c r="B36" s="368" t="s">
        <v>313</v>
      </c>
      <c r="C36" s="41" t="s">
        <v>128</v>
      </c>
      <c r="D36" s="145" t="s">
        <v>1717</v>
      </c>
      <c r="E36" s="1474"/>
      <c r="F36" s="1474"/>
      <c r="G36" s="1471">
        <f>IF($E$36&gt;=0,0,"f16.1.a&gt;=0")</f>
        <v>0</v>
      </c>
      <c r="H36" s="1471">
        <f>IF($F$36&gt;=0,0,"f16.1.a&gt;=0")</f>
        <v>0</v>
      </c>
      <c r="I36" s="1084"/>
    </row>
    <row r="37" spans="1:15">
      <c r="A37" s="1156" t="str">
        <f t="shared" si="0"/>
        <v>F-16.01_230</v>
      </c>
      <c r="B37" s="368" t="s">
        <v>314</v>
      </c>
      <c r="C37" s="135" t="s">
        <v>32</v>
      </c>
      <c r="D37" s="610" t="s">
        <v>1569</v>
      </c>
      <c r="E37" s="1958"/>
      <c r="F37" s="1958"/>
      <c r="G37" s="1471">
        <f>IF($E$37&gt;=0,0,"f16.1.a&gt;=0")</f>
        <v>0</v>
      </c>
      <c r="H37" s="1086">
        <f>IF($F$37&gt;=0,0,"f16.1.a&gt;=0")</f>
        <v>0</v>
      </c>
      <c r="I37" s="1084"/>
    </row>
    <row r="38" spans="1:15" s="133" customFormat="1" ht="21">
      <c r="A38" s="1156" t="str">
        <f t="shared" si="0"/>
        <v>F-16.01_240</v>
      </c>
      <c r="B38" s="361" t="s">
        <v>315</v>
      </c>
      <c r="C38" s="136" t="s">
        <v>132</v>
      </c>
      <c r="D38" s="610" t="s">
        <v>1763</v>
      </c>
      <c r="E38" s="1958"/>
      <c r="F38" s="1958"/>
      <c r="G38" s="1471">
        <f>IF($E$38&gt;=0,0,"f16.1.a&gt;=0")</f>
        <v>0</v>
      </c>
      <c r="H38" s="1086">
        <f>IF($F$38&gt;=0,0,"f16.1.a&gt;=0")</f>
        <v>0</v>
      </c>
      <c r="I38" s="1088"/>
    </row>
    <row r="39" spans="1:15">
      <c r="A39" s="1156" t="str">
        <f t="shared" si="0"/>
        <v>F-16.01_250</v>
      </c>
      <c r="B39" s="362" t="s">
        <v>316</v>
      </c>
      <c r="C39" s="224" t="s">
        <v>41</v>
      </c>
      <c r="D39" s="610" t="s">
        <v>1764</v>
      </c>
      <c r="E39" s="1958"/>
      <c r="F39" s="1958"/>
      <c r="G39" s="1471">
        <f>IF($E$39&gt;=0,0,"f16.1.a&gt;=0")</f>
        <v>0</v>
      </c>
      <c r="H39" s="1086">
        <f>IF($F$39&gt;=0,0,"f16.1.a&gt;=0")</f>
        <v>0</v>
      </c>
      <c r="I39" s="1084"/>
    </row>
    <row r="40" spans="1:15">
      <c r="A40" s="1156" t="str">
        <f t="shared" si="0"/>
        <v>F-16.01_260</v>
      </c>
      <c r="B40" s="362" t="s">
        <v>317</v>
      </c>
      <c r="C40" s="202" t="s">
        <v>212</v>
      </c>
      <c r="D40" s="335" t="s">
        <v>1570</v>
      </c>
      <c r="E40" s="1958"/>
      <c r="F40" s="1958"/>
      <c r="G40" s="1471">
        <f>IF($E$40&gt;=0,0,"f16.1.a&gt;=0")</f>
        <v>0</v>
      </c>
      <c r="H40" s="1086">
        <f>IF($F$40&gt;=0,0,"f16.1.a&gt;=0")</f>
        <v>0</v>
      </c>
      <c r="I40" s="1084"/>
    </row>
    <row r="41" spans="1:15">
      <c r="A41" s="1156" t="str">
        <f t="shared" si="0"/>
        <v>F-16.01_270</v>
      </c>
      <c r="B41" s="534" t="s">
        <v>318</v>
      </c>
      <c r="C41" s="312" t="s">
        <v>476</v>
      </c>
      <c r="D41" s="611" t="s">
        <v>1765</v>
      </c>
      <c r="E41" s="685">
        <f>$E$14+$E$16+$E$22+$E$29+$E$30+$E$37+$E$38+$E$39+$E$40</f>
        <v>0</v>
      </c>
      <c r="F41" s="1081">
        <f>$F$14+$F$16+$F$22+$F$29+$F$30+$F$37+$F$38+$F$39+$F$40</f>
        <v>0</v>
      </c>
      <c r="G41" s="1086">
        <f>IF($E$41&gt;=0,0,"f16.1.a&gt;=0")</f>
        <v>0</v>
      </c>
      <c r="H41" s="1086">
        <f>IF($F$41&gt;=0,0,"f16.1.a&gt;=0")</f>
        <v>0</v>
      </c>
    </row>
    <row r="42" spans="1:15" ht="21">
      <c r="A42" s="1156" t="str">
        <f t="shared" si="0"/>
        <v>F-16.01_280</v>
      </c>
      <c r="B42" s="1770">
        <v>280</v>
      </c>
      <c r="C42" s="1771" t="s">
        <v>1759</v>
      </c>
      <c r="D42" s="611" t="s">
        <v>1760</v>
      </c>
      <c r="E42" s="1632"/>
      <c r="F42" s="1632"/>
      <c r="G42" s="1086">
        <f>IF($E$42&gt;=0,0,"f16.1.a&gt;=0")</f>
        <v>0</v>
      </c>
      <c r="H42" s="1086">
        <f>IF($F$42&gt;=0,0,"f16.1.a&gt;=0")</f>
        <v>0</v>
      </c>
    </row>
    <row r="43" spans="1:15">
      <c r="A43" s="1100" t="s">
        <v>718</v>
      </c>
      <c r="B43" s="1673"/>
      <c r="C43" s="1671"/>
      <c r="D43" s="1672"/>
      <c r="E43" s="1072">
        <f>IF('20'!$G$8="N",0,IF(E41='20'!E96+'20'!F96,0,"{F 16.01, r270, c010} = +{F 20.03, r010, c010} + {F 20.03, r010, c020}"))</f>
        <v>0</v>
      </c>
      <c r="F43" s="1674"/>
      <c r="G43" s="1086"/>
      <c r="H43" s="1086"/>
    </row>
    <row r="44" spans="1:15">
      <c r="A44" s="1100" t="s">
        <v>718</v>
      </c>
      <c r="B44" s="1673"/>
      <c r="C44" s="1671"/>
      <c r="D44" s="1672"/>
      <c r="E44" s="1072"/>
      <c r="F44" s="1072">
        <f>IF('20'!$G$8="N",0,IF(F41='20'!E97+'20'!F97,0,"{F 16.01, r270, c020} = +{F 20.03, r020, c010} + {F 20.03, r020, c020}"))</f>
        <v>0</v>
      </c>
      <c r="G44" s="1086"/>
      <c r="H44" s="1086"/>
    </row>
    <row r="45" spans="1:15">
      <c r="A45" s="1156" t="s">
        <v>724</v>
      </c>
      <c r="B45" s="137"/>
      <c r="C45" s="137"/>
      <c r="D45" s="138"/>
      <c r="G45" s="1084"/>
      <c r="J45" s="1085"/>
    </row>
    <row r="46" spans="1:15" s="1097" customFormat="1" ht="18" hidden="1" customHeight="1">
      <c r="A46" s="1096" t="s">
        <v>1249</v>
      </c>
      <c r="B46" s="1118">
        <v>2</v>
      </c>
      <c r="C46" s="1118">
        <v>1</v>
      </c>
      <c r="D46" s="1119">
        <v>12</v>
      </c>
      <c r="E46" s="1182">
        <v>5</v>
      </c>
      <c r="F46" s="1120">
        <v>3</v>
      </c>
      <c r="G46" s="1121">
        <v>4</v>
      </c>
      <c r="H46" s="1122">
        <v>4</v>
      </c>
      <c r="I46" s="1122">
        <v>4</v>
      </c>
      <c r="J46" s="1123">
        <v>4</v>
      </c>
      <c r="K46" s="1123">
        <v>5</v>
      </c>
      <c r="L46" s="1124">
        <v>4</v>
      </c>
      <c r="M46" s="1124">
        <v>6</v>
      </c>
      <c r="N46" s="1125">
        <v>4</v>
      </c>
      <c r="O46" s="1125">
        <v>7</v>
      </c>
    </row>
    <row r="47" spans="1:15" s="1097" customFormat="1" ht="18" hidden="1" customHeight="1">
      <c r="A47" s="1096" t="str">
        <f>Index!$A$2</f>
        <v>V20181222</v>
      </c>
      <c r="B47" s="1098"/>
      <c r="C47" s="1099"/>
      <c r="D47" s="1100"/>
      <c r="E47" s="1100" t="str">
        <f>$A$46&amp;"_"&amp;E56</f>
        <v>F-16.02_010</v>
      </c>
      <c r="F47" s="1100"/>
      <c r="G47" s="1100"/>
      <c r="H47" s="1100"/>
      <c r="I47" s="1100"/>
      <c r="J47" s="1100"/>
      <c r="K47" s="1100"/>
      <c r="L47" s="1100"/>
      <c r="M47" s="1100"/>
      <c r="N47" s="1101"/>
    </row>
    <row r="48" spans="1:15" s="1097" customFormat="1" ht="18" hidden="1" customHeight="1">
      <c r="A48" s="1096" t="str">
        <f>"R:A1:P"&amp;ROW(A88)+1</f>
        <v>R:A1:P89</v>
      </c>
      <c r="B48" s="1102"/>
      <c r="C48" s="1103"/>
      <c r="D48" s="1104"/>
      <c r="E48" s="1105"/>
      <c r="F48" s="1106"/>
      <c r="G48" s="1107"/>
      <c r="H48" s="1107"/>
      <c r="I48" s="1107"/>
      <c r="J48" s="1107"/>
      <c r="K48" s="1107"/>
    </row>
    <row r="49" spans="1:14" s="1097" customFormat="1" ht="18" hidden="1" customHeight="1">
      <c r="A49" s="1096"/>
      <c r="B49" s="1102"/>
      <c r="C49" s="1103"/>
      <c r="D49" s="1108"/>
      <c r="E49" s="1109"/>
      <c r="F49" s="1110"/>
      <c r="G49" s="1111">
        <f>N50</f>
        <v>0</v>
      </c>
      <c r="H49" s="1107"/>
      <c r="I49" s="1107"/>
      <c r="J49" s="1107"/>
      <c r="K49" s="1107"/>
    </row>
    <row r="50" spans="1:14" s="1097" customFormat="1" ht="18" hidden="1" customHeight="1">
      <c r="A50" s="1096"/>
      <c r="B50" s="1102"/>
      <c r="C50" s="1103"/>
      <c r="D50" s="1112"/>
      <c r="E50" s="1113"/>
      <c r="F50" s="1114"/>
      <c r="N50" s="1097">
        <f>COUNTIF(E63:F63,"&lt;&gt;0")-COUNTBLANK(E63:F63)</f>
        <v>0</v>
      </c>
    </row>
    <row r="51" spans="1:14" s="1116" customFormat="1">
      <c r="A51" s="1100" t="s">
        <v>718</v>
      </c>
      <c r="B51" s="1115"/>
    </row>
    <row r="52" spans="1:14" s="112" customFormat="1">
      <c r="A52" s="1100" t="s">
        <v>718</v>
      </c>
      <c r="B52" s="63" t="s">
        <v>574</v>
      </c>
      <c r="D52" s="139"/>
      <c r="E52" s="139"/>
      <c r="F52" s="130"/>
      <c r="H52" s="671"/>
      <c r="I52" s="671"/>
    </row>
    <row r="53" spans="1:14" s="112" customFormat="1">
      <c r="A53" s="1100" t="s">
        <v>718</v>
      </c>
      <c r="D53" s="139"/>
      <c r="E53" s="139"/>
      <c r="F53" s="130"/>
      <c r="G53" s="671"/>
      <c r="H53" s="671"/>
      <c r="I53" s="671"/>
    </row>
    <row r="54" spans="1:14" s="112" customFormat="1" ht="21">
      <c r="A54" s="1100" t="s">
        <v>718</v>
      </c>
      <c r="B54" s="454"/>
      <c r="C54" s="535"/>
      <c r="D54" s="1989" t="s">
        <v>551</v>
      </c>
      <c r="E54" s="546" t="s">
        <v>54</v>
      </c>
    </row>
    <row r="55" spans="1:14" s="112" customFormat="1" ht="21">
      <c r="A55" s="1100"/>
      <c r="B55" s="455"/>
      <c r="C55" s="1528"/>
      <c r="D55" s="1990"/>
      <c r="E55" s="1241" t="s">
        <v>1768</v>
      </c>
    </row>
    <row r="56" spans="1:14" s="112" customFormat="1">
      <c r="A56" s="1100" t="s">
        <v>718</v>
      </c>
      <c r="B56" s="456"/>
      <c r="C56" s="536"/>
      <c r="D56" s="1991"/>
      <c r="E56" s="1245" t="s">
        <v>292</v>
      </c>
    </row>
    <row r="57" spans="1:14" s="112" customFormat="1">
      <c r="A57" s="1156" t="str">
        <f t="shared" ref="A57:A62" si="1">$A$46&amp;"_"&amp;B57</f>
        <v>F-16.02_020</v>
      </c>
      <c r="B57" s="367" t="s">
        <v>293</v>
      </c>
      <c r="C57" s="225" t="s">
        <v>55</v>
      </c>
      <c r="D57" s="1168" t="s">
        <v>595</v>
      </c>
      <c r="E57" s="1171"/>
    </row>
    <row r="58" spans="1:14" s="112" customFormat="1">
      <c r="A58" s="1156" t="str">
        <f t="shared" si="1"/>
        <v>F-16.02_030</v>
      </c>
      <c r="B58" s="361" t="s">
        <v>294</v>
      </c>
      <c r="C58" s="220" t="s">
        <v>61</v>
      </c>
      <c r="D58" s="843" t="s">
        <v>1576</v>
      </c>
      <c r="E58" s="1171"/>
    </row>
    <row r="59" spans="1:14" s="112" customFormat="1" ht="31.5">
      <c r="A59" s="1156" t="str">
        <f t="shared" si="1"/>
        <v>F-16.02_040</v>
      </c>
      <c r="B59" s="362" t="s">
        <v>295</v>
      </c>
      <c r="C59" s="220" t="s">
        <v>15</v>
      </c>
      <c r="D59" s="160" t="s">
        <v>1568</v>
      </c>
      <c r="E59" s="1171"/>
    </row>
    <row r="60" spans="1:14" s="112" customFormat="1">
      <c r="A60" s="1156" t="str">
        <f t="shared" si="1"/>
        <v>F-16.02_050</v>
      </c>
      <c r="B60" s="362" t="s">
        <v>296</v>
      </c>
      <c r="C60" s="220" t="s">
        <v>32</v>
      </c>
      <c r="D60" s="843" t="s">
        <v>1569</v>
      </c>
      <c r="E60" s="1171"/>
    </row>
    <row r="61" spans="1:14" s="112" customFormat="1">
      <c r="A61" s="1156" t="str">
        <f t="shared" si="1"/>
        <v>F-16.02_060</v>
      </c>
      <c r="B61" s="364" t="s">
        <v>297</v>
      </c>
      <c r="C61" s="220" t="s">
        <v>48</v>
      </c>
      <c r="D61" s="1169" t="s">
        <v>1570</v>
      </c>
      <c r="E61" s="1171"/>
    </row>
    <row r="62" spans="1:14" s="112" customFormat="1" ht="21">
      <c r="A62" s="1156" t="str">
        <f t="shared" si="1"/>
        <v>F-16.02_070</v>
      </c>
      <c r="B62" s="453" t="s">
        <v>298</v>
      </c>
      <c r="C62" s="226" t="s">
        <v>477</v>
      </c>
      <c r="D62" s="353" t="s">
        <v>601</v>
      </c>
      <c r="E62" s="690">
        <f>SUM($E$57:$E$61)</f>
        <v>0</v>
      </c>
    </row>
    <row r="63" spans="1:14" s="112" customFormat="1">
      <c r="A63" s="1100" t="s">
        <v>718</v>
      </c>
      <c r="E63" s="1072">
        <f>IF('20'!$G$8="N",0,IF(E62='20'!E102+'20'!F102,0,"{F 16.02, c010} = +{F 20.03, r070 c010} + {F 20.03, r070 c020}"))</f>
        <v>0</v>
      </c>
    </row>
    <row r="64" spans="1:14">
      <c r="A64" s="1156" t="s">
        <v>724</v>
      </c>
      <c r="C64" s="138"/>
      <c r="D64" s="138"/>
      <c r="E64" s="138"/>
    </row>
    <row r="65" spans="1:15" s="1097" customFormat="1" ht="18" hidden="1" customHeight="1">
      <c r="A65" s="1096" t="s">
        <v>1250</v>
      </c>
      <c r="B65" s="1118">
        <v>2</v>
      </c>
      <c r="C65" s="1118">
        <v>1</v>
      </c>
      <c r="D65" s="1119">
        <v>12</v>
      </c>
      <c r="E65" s="1182">
        <v>5</v>
      </c>
      <c r="F65" s="1120">
        <v>3</v>
      </c>
      <c r="G65" s="1121">
        <v>4</v>
      </c>
      <c r="H65" s="1122">
        <v>4</v>
      </c>
      <c r="I65" s="1122">
        <v>4</v>
      </c>
      <c r="J65" s="1123">
        <v>4</v>
      </c>
      <c r="K65" s="1123">
        <v>5</v>
      </c>
      <c r="L65" s="1124">
        <v>4</v>
      </c>
      <c r="M65" s="1124">
        <v>6</v>
      </c>
      <c r="N65" s="1125">
        <v>4</v>
      </c>
      <c r="O65" s="1125">
        <v>7</v>
      </c>
    </row>
    <row r="66" spans="1:15" s="1097" customFormat="1" ht="18" hidden="1" customHeight="1">
      <c r="A66" s="1096" t="str">
        <f>Index!$A$2</f>
        <v>V20181222</v>
      </c>
      <c r="B66" s="1098"/>
      <c r="C66" s="1099"/>
      <c r="D66" s="1100"/>
      <c r="E66" s="1100" t="str">
        <f>$A$65&amp;"_"&amp;E75</f>
        <v>F-16.03_010</v>
      </c>
      <c r="F66" s="1100"/>
      <c r="G66" s="1100"/>
      <c r="H66" s="1100"/>
      <c r="I66" s="1100"/>
      <c r="J66" s="1100"/>
      <c r="K66" s="1100"/>
      <c r="L66" s="1100"/>
      <c r="M66" s="1100"/>
      <c r="N66" s="1101"/>
    </row>
    <row r="67" spans="1:15" s="1097" customFormat="1" ht="18" hidden="1" customHeight="1">
      <c r="A67" s="1096" t="str">
        <f>"R:A1:P"&amp;ROW(A112)+1</f>
        <v>R:A1:P113</v>
      </c>
      <c r="B67" s="1102"/>
      <c r="C67" s="1103"/>
      <c r="D67" s="1104"/>
      <c r="E67" s="1105"/>
      <c r="F67" s="1106"/>
      <c r="G67" s="1107"/>
      <c r="H67" s="1107"/>
      <c r="I67" s="1107"/>
      <c r="J67" s="1107"/>
      <c r="K67" s="1107"/>
    </row>
    <row r="68" spans="1:15" s="1097" customFormat="1" ht="18" hidden="1" customHeight="1">
      <c r="A68" s="1096"/>
      <c r="B68" s="1102"/>
      <c r="C68" s="1103"/>
      <c r="D68" s="1108"/>
      <c r="E68" s="1109"/>
      <c r="F68" s="1110"/>
      <c r="G68" s="1111">
        <f>N69</f>
        <v>0</v>
      </c>
      <c r="H68" s="1107"/>
      <c r="I68" s="1107"/>
      <c r="J68" s="1107"/>
      <c r="K68" s="1107"/>
    </row>
    <row r="69" spans="1:15" s="1097" customFormat="1" ht="18" hidden="1" customHeight="1">
      <c r="A69" s="1096"/>
      <c r="B69" s="1102"/>
      <c r="C69" s="1103"/>
      <c r="D69" s="1112"/>
      <c r="E69" s="1113"/>
      <c r="F69" s="1114"/>
      <c r="N69" s="1097">
        <f>COUNTIF(E87:F87,"&lt;&gt;0")-COUNTBLANK(E87:F87)</f>
        <v>0</v>
      </c>
    </row>
    <row r="70" spans="1:15" s="1116" customFormat="1">
      <c r="A70" s="1100" t="s">
        <v>718</v>
      </c>
      <c r="B70" s="1115"/>
    </row>
    <row r="71" spans="1:15">
      <c r="A71" s="1100" t="s">
        <v>718</v>
      </c>
      <c r="B71" s="63" t="s">
        <v>575</v>
      </c>
      <c r="F71" s="131"/>
    </row>
    <row r="72" spans="1:15">
      <c r="A72" s="1100" t="s">
        <v>718</v>
      </c>
      <c r="F72" s="131"/>
    </row>
    <row r="73" spans="1:15" ht="21">
      <c r="A73" s="1100" t="s">
        <v>718</v>
      </c>
      <c r="B73" s="524"/>
      <c r="C73" s="537"/>
      <c r="D73" s="992"/>
      <c r="E73" s="546" t="s">
        <v>54</v>
      </c>
      <c r="F73"/>
    </row>
    <row r="74" spans="1:15" ht="21">
      <c r="A74" s="1100" t="s">
        <v>718</v>
      </c>
      <c r="B74" s="527"/>
      <c r="C74" s="538"/>
      <c r="D74" s="445" t="s">
        <v>551</v>
      </c>
      <c r="E74" s="1241" t="s">
        <v>1776</v>
      </c>
      <c r="F74"/>
    </row>
    <row r="75" spans="1:15">
      <c r="A75" s="1100" t="s">
        <v>718</v>
      </c>
      <c r="B75" s="530"/>
      <c r="C75" s="539"/>
      <c r="D75" s="359"/>
      <c r="E75" s="1245" t="s">
        <v>292</v>
      </c>
      <c r="F75"/>
    </row>
    <row r="76" spans="1:15" s="229" customFormat="1" ht="21">
      <c r="A76" s="1156" t="str">
        <f>$A$65&amp;"_"&amp;B76</f>
        <v>F-16.03_010</v>
      </c>
      <c r="B76" s="367" t="s">
        <v>292</v>
      </c>
      <c r="C76" s="219" t="s">
        <v>121</v>
      </c>
      <c r="D76" s="204" t="s">
        <v>1773</v>
      </c>
      <c r="E76" s="1170"/>
      <c r="F76"/>
    </row>
    <row r="77" spans="1:15" s="229" customFormat="1" ht="31.5">
      <c r="A77" s="1156" t="str">
        <f>$A$65&amp;"_"&amp;B77</f>
        <v>F-16.03_015</v>
      </c>
      <c r="B77" s="1746" t="s">
        <v>1571</v>
      </c>
      <c r="C77" s="192" t="s">
        <v>1769</v>
      </c>
      <c r="D77" s="275" t="s">
        <v>1770</v>
      </c>
      <c r="E77" s="1170"/>
      <c r="F77"/>
    </row>
    <row r="78" spans="1:15" s="229" customFormat="1">
      <c r="A78" s="1156" t="str">
        <f t="shared" ref="A78:A86" si="2">$A$65&amp;"_"&amp;B78</f>
        <v>F-16.03_020</v>
      </c>
      <c r="B78" s="361" t="s">
        <v>293</v>
      </c>
      <c r="C78" s="220" t="s">
        <v>59</v>
      </c>
      <c r="D78" s="160" t="s">
        <v>60</v>
      </c>
      <c r="E78" s="1170"/>
      <c r="F78"/>
    </row>
    <row r="79" spans="1:15" s="229" customFormat="1">
      <c r="A79" s="1156" t="str">
        <f t="shared" si="2"/>
        <v>F-16.03_030</v>
      </c>
      <c r="B79" s="362" t="s">
        <v>294</v>
      </c>
      <c r="C79" s="220" t="s">
        <v>55</v>
      </c>
      <c r="D79" s="275" t="s">
        <v>595</v>
      </c>
      <c r="E79" s="1170"/>
      <c r="F79"/>
    </row>
    <row r="80" spans="1:15" s="229" customFormat="1">
      <c r="A80" s="1156" t="str">
        <f t="shared" si="2"/>
        <v>F-16.03_040</v>
      </c>
      <c r="B80" s="362" t="s">
        <v>295</v>
      </c>
      <c r="C80" s="220" t="s">
        <v>61</v>
      </c>
      <c r="D80" s="115" t="s">
        <v>1576</v>
      </c>
      <c r="E80" s="1170"/>
      <c r="F80"/>
    </row>
    <row r="81" spans="1:15" s="229" customFormat="1">
      <c r="A81" s="1156" t="str">
        <f t="shared" si="2"/>
        <v>F-16.03_050</v>
      </c>
      <c r="B81" s="361" t="s">
        <v>296</v>
      </c>
      <c r="C81" s="220" t="s">
        <v>77</v>
      </c>
      <c r="D81" s="160" t="s">
        <v>1774</v>
      </c>
      <c r="E81" s="1170"/>
      <c r="F81"/>
    </row>
    <row r="82" spans="1:15" s="229" customFormat="1" ht="31.5">
      <c r="A82" s="1156" t="str">
        <f t="shared" si="2"/>
        <v>F-16.03_060</v>
      </c>
      <c r="B82" s="361" t="s">
        <v>297</v>
      </c>
      <c r="C82" s="220" t="s">
        <v>15</v>
      </c>
      <c r="D82" s="160" t="s">
        <v>1568</v>
      </c>
      <c r="E82" s="1170"/>
      <c r="F82"/>
    </row>
    <row r="83" spans="1:15" s="229" customFormat="1">
      <c r="A83" s="1156" t="str">
        <f t="shared" si="2"/>
        <v>F-16.03_070</v>
      </c>
      <c r="B83" s="361" t="s">
        <v>298</v>
      </c>
      <c r="C83" s="220" t="s">
        <v>32</v>
      </c>
      <c r="D83" s="115" t="s">
        <v>1569</v>
      </c>
      <c r="E83" s="1170"/>
      <c r="F83"/>
    </row>
    <row r="84" spans="1:15" s="229" customFormat="1">
      <c r="A84" s="1156" t="str">
        <f t="shared" si="2"/>
        <v>F-16.03_080</v>
      </c>
      <c r="B84" s="362" t="s">
        <v>299</v>
      </c>
      <c r="C84" s="220" t="s">
        <v>48</v>
      </c>
      <c r="D84" s="335" t="s">
        <v>1570</v>
      </c>
      <c r="E84" s="1170"/>
      <c r="F84"/>
    </row>
    <row r="85" spans="1:15" s="229" customFormat="1" ht="21">
      <c r="A85" s="1156" t="str">
        <f t="shared" si="2"/>
        <v>F-16.03_090</v>
      </c>
      <c r="B85" s="375" t="s">
        <v>300</v>
      </c>
      <c r="C85" s="228" t="s">
        <v>478</v>
      </c>
      <c r="D85" s="353" t="s">
        <v>1775</v>
      </c>
      <c r="E85" s="1959">
        <f>SUM($E$76,E78:E84)</f>
        <v>0</v>
      </c>
      <c r="F85"/>
    </row>
    <row r="86" spans="1:15" s="229" customFormat="1" ht="21">
      <c r="A86" s="1156" t="str">
        <f t="shared" si="2"/>
        <v>F-16.03_095</v>
      </c>
      <c r="B86" s="453" t="s">
        <v>435</v>
      </c>
      <c r="C86" s="228" t="s">
        <v>1771</v>
      </c>
      <c r="D86" s="354" t="s">
        <v>1772</v>
      </c>
      <c r="E86" s="1170"/>
      <c r="F86"/>
    </row>
    <row r="87" spans="1:15" s="229" customFormat="1">
      <c r="A87" s="1156" t="s">
        <v>724</v>
      </c>
      <c r="B87" s="184"/>
      <c r="C87" s="1116"/>
      <c r="D87" s="1116"/>
      <c r="E87" s="1072">
        <f>IF('20'!$G$8="N",0,IF(E85='20'!E103+'20'!F103,0,"{F 16.03, r090, c010} = +{F 20.03, r080, c010} + {F 20.03, r080, c020}"))</f>
        <v>0</v>
      </c>
      <c r="F87"/>
    </row>
    <row r="88" spans="1:15" s="1097" customFormat="1" ht="18" hidden="1" customHeight="1">
      <c r="A88" s="1096" t="s">
        <v>1251</v>
      </c>
      <c r="B88" s="1118">
        <v>2</v>
      </c>
      <c r="C88" s="1116">
        <v>1</v>
      </c>
      <c r="D88" s="1116">
        <v>12</v>
      </c>
      <c r="E88" s="1116">
        <v>5</v>
      </c>
      <c r="F88" s="1120">
        <v>3</v>
      </c>
      <c r="G88" s="1121">
        <v>4</v>
      </c>
      <c r="H88" s="1122">
        <v>4</v>
      </c>
      <c r="I88" s="1122">
        <v>4</v>
      </c>
      <c r="J88" s="1123">
        <v>4</v>
      </c>
      <c r="K88" s="1123">
        <v>5</v>
      </c>
      <c r="L88" s="1124">
        <v>4</v>
      </c>
      <c r="M88" s="1124">
        <v>6</v>
      </c>
      <c r="N88" s="1125">
        <v>4</v>
      </c>
      <c r="O88" s="1125">
        <v>7</v>
      </c>
    </row>
    <row r="89" spans="1:15" s="1097" customFormat="1" ht="18" hidden="1" customHeight="1">
      <c r="A89" s="1096" t="str">
        <f>Index!$A$2</f>
        <v>V20181222</v>
      </c>
      <c r="B89" s="1098"/>
      <c r="C89" s="1116"/>
      <c r="D89" s="1116"/>
      <c r="E89" s="1116" t="str">
        <f>$A$88&amp;"_"&amp;E98</f>
        <v>F-16.04_010</v>
      </c>
      <c r="F89" s="1100"/>
      <c r="G89" s="1100"/>
      <c r="H89" s="1100"/>
      <c r="I89" s="1100"/>
      <c r="J89" s="1100"/>
      <c r="K89" s="1100"/>
      <c r="L89" s="1100"/>
      <c r="M89" s="1100"/>
      <c r="N89" s="1101"/>
    </row>
    <row r="90" spans="1:15" s="1097" customFormat="1" ht="18" hidden="1" customHeight="1">
      <c r="A90" s="1096" t="str">
        <f>"R:A1:P"&amp;ROW(A148)+1</f>
        <v>R:A1:P149</v>
      </c>
      <c r="B90" s="1102"/>
      <c r="C90" s="1116"/>
      <c r="D90" s="1116"/>
      <c r="E90" s="1116"/>
      <c r="F90" s="1106"/>
      <c r="G90" s="1107"/>
      <c r="H90" s="1107"/>
      <c r="I90" s="1107"/>
      <c r="J90" s="1107"/>
      <c r="K90" s="1107"/>
    </row>
    <row r="91" spans="1:15" s="1097" customFormat="1" ht="18" hidden="1" customHeight="1">
      <c r="A91" s="1096"/>
      <c r="B91" s="1102"/>
      <c r="C91" s="1116"/>
      <c r="D91" s="1116"/>
      <c r="E91" s="1116"/>
      <c r="F91" s="1110"/>
      <c r="G91" s="1111">
        <f>N92</f>
        <v>0</v>
      </c>
      <c r="H91" s="1107"/>
      <c r="I91" s="1107"/>
      <c r="J91" s="1107"/>
      <c r="K91" s="1107"/>
    </row>
    <row r="92" spans="1:15" s="1097" customFormat="1" ht="18" hidden="1" customHeight="1">
      <c r="A92" s="1096"/>
      <c r="B92" s="1102"/>
      <c r="C92" s="1116"/>
      <c r="D92" s="1116"/>
      <c r="E92" s="1116"/>
      <c r="F92" s="1114"/>
      <c r="N92" s="1097">
        <f>COUNTIF(F98:I105,"&lt;&gt;0")-COUNTBLANK(F98:I105)+COUNTIF(E106:F106,"&lt;&gt;0")-COUNTBLANK(E106:F106)</f>
        <v>0</v>
      </c>
    </row>
    <row r="93" spans="1:15" s="1116" customFormat="1">
      <c r="A93" s="1100" t="s">
        <v>718</v>
      </c>
      <c r="B93" s="1115"/>
    </row>
    <row r="94" spans="1:15">
      <c r="A94" s="1100" t="s">
        <v>718</v>
      </c>
      <c r="B94" s="131" t="s">
        <v>1777</v>
      </c>
      <c r="D94" s="131"/>
      <c r="E94" s="131"/>
    </row>
    <row r="95" spans="1:15">
      <c r="A95" s="1100" t="s">
        <v>718</v>
      </c>
    </row>
    <row r="96" spans="1:15" s="133" customFormat="1" ht="21" customHeight="1">
      <c r="A96" s="1100" t="s">
        <v>718</v>
      </c>
      <c r="B96" s="524"/>
      <c r="C96" s="541"/>
      <c r="D96" s="992"/>
      <c r="E96" s="2105" t="s">
        <v>54</v>
      </c>
      <c r="F96"/>
    </row>
    <row r="97" spans="1:15" s="133" customFormat="1">
      <c r="A97" s="1100" t="s">
        <v>718</v>
      </c>
      <c r="B97" s="527"/>
      <c r="C97" s="542"/>
      <c r="D97" s="445" t="s">
        <v>551</v>
      </c>
      <c r="E97" s="2106"/>
      <c r="F97"/>
    </row>
    <row r="98" spans="1:15" s="133" customFormat="1">
      <c r="A98" s="1100" t="s">
        <v>718</v>
      </c>
      <c r="B98" s="530"/>
      <c r="C98" s="543"/>
      <c r="D98" s="544"/>
      <c r="E98" s="540" t="s">
        <v>292</v>
      </c>
      <c r="F98"/>
    </row>
    <row r="99" spans="1:15">
      <c r="A99" s="1156" t="str">
        <f>$A$88&amp;"_"&amp;B99</f>
        <v>F-16.04_010</v>
      </c>
      <c r="B99" s="367" t="s">
        <v>292</v>
      </c>
      <c r="C99" s="249" t="s">
        <v>213</v>
      </c>
      <c r="D99" s="144" t="s">
        <v>1778</v>
      </c>
      <c r="E99" s="1170"/>
      <c r="F99"/>
    </row>
    <row r="100" spans="1:15">
      <c r="A100" s="1156" t="str">
        <f t="shared" ref="A100:A105" si="3">$A$88&amp;"_"&amp;B100</f>
        <v>F-16.04_020</v>
      </c>
      <c r="B100" s="361" t="s">
        <v>293</v>
      </c>
      <c r="C100" s="132" t="s">
        <v>214</v>
      </c>
      <c r="D100" s="145" t="s">
        <v>1779</v>
      </c>
      <c r="E100" s="1170"/>
      <c r="F100"/>
    </row>
    <row r="101" spans="1:15">
      <c r="A101" s="1156" t="str">
        <f t="shared" si="3"/>
        <v>F-16.04_030</v>
      </c>
      <c r="B101" s="362" t="s">
        <v>294</v>
      </c>
      <c r="C101" s="132" t="s">
        <v>407</v>
      </c>
      <c r="D101" s="145" t="s">
        <v>1780</v>
      </c>
      <c r="E101" s="1170"/>
      <c r="F101"/>
    </row>
    <row r="102" spans="1:15">
      <c r="A102" s="1156" t="str">
        <f t="shared" si="3"/>
        <v>F-16.04_040</v>
      </c>
      <c r="B102" s="362" t="s">
        <v>295</v>
      </c>
      <c r="C102" s="132" t="s">
        <v>215</v>
      </c>
      <c r="D102" s="145" t="s">
        <v>1781</v>
      </c>
      <c r="E102" s="1170"/>
      <c r="F102"/>
    </row>
    <row r="103" spans="1:15">
      <c r="A103" s="1156" t="str">
        <f t="shared" si="3"/>
        <v>F-16.04_050</v>
      </c>
      <c r="B103" s="363" t="s">
        <v>296</v>
      </c>
      <c r="C103" s="132" t="s">
        <v>408</v>
      </c>
      <c r="D103" s="145" t="s">
        <v>1782</v>
      </c>
      <c r="E103" s="1170"/>
      <c r="F103"/>
    </row>
    <row r="104" spans="1:15">
      <c r="A104" s="1156" t="str">
        <f t="shared" si="3"/>
        <v>F-16.04_060</v>
      </c>
      <c r="B104" s="545" t="s">
        <v>297</v>
      </c>
      <c r="C104" s="250" t="s">
        <v>93</v>
      </c>
      <c r="D104" s="145" t="s">
        <v>1783</v>
      </c>
      <c r="E104" s="1170"/>
      <c r="F104"/>
    </row>
    <row r="105" spans="1:15">
      <c r="A105" s="1156" t="str">
        <f t="shared" si="3"/>
        <v>F-16.04_070</v>
      </c>
      <c r="B105" s="545" t="s">
        <v>298</v>
      </c>
      <c r="C105" s="228" t="s">
        <v>478</v>
      </c>
      <c r="D105" s="354" t="s">
        <v>519</v>
      </c>
      <c r="E105" s="688">
        <f>SUM($E$99:$E$104)</f>
        <v>0</v>
      </c>
      <c r="F105" s="1090">
        <f>IF(($E$85=$E$105),0,"F16.3, r90= F16.4, r70")</f>
        <v>0</v>
      </c>
    </row>
    <row r="106" spans="1:15">
      <c r="A106" s="1156" t="s">
        <v>724</v>
      </c>
      <c r="C106" s="112"/>
      <c r="D106" s="112"/>
      <c r="E106" s="1072">
        <f>IF('20'!$G$8="N",0,IF(E105='20'!E103+'20'!F103,0,"{F 16.04, r070, c010} = +{F 20.03, r080, c010} + {F 20.03, r080, c020}"))</f>
        <v>0</v>
      </c>
    </row>
    <row r="107" spans="1:15" s="1097" customFormat="1" ht="18" hidden="1" customHeight="1">
      <c r="A107" s="1096" t="s">
        <v>2256</v>
      </c>
      <c r="B107" s="1118">
        <v>2</v>
      </c>
      <c r="C107" s="1118">
        <v>1</v>
      </c>
      <c r="D107" s="1119">
        <v>11</v>
      </c>
      <c r="E107" s="1182">
        <v>5</v>
      </c>
      <c r="F107" s="1120">
        <v>3</v>
      </c>
      <c r="G107" s="1121">
        <v>4</v>
      </c>
      <c r="H107" s="1122">
        <v>4</v>
      </c>
      <c r="I107" s="1122">
        <v>4</v>
      </c>
      <c r="J107" s="1123">
        <v>4</v>
      </c>
      <c r="K107" s="1123">
        <v>5</v>
      </c>
      <c r="L107" s="1124">
        <v>4</v>
      </c>
      <c r="M107" s="1124">
        <v>6</v>
      </c>
      <c r="N107" s="1125">
        <v>4</v>
      </c>
      <c r="O107" s="1125">
        <v>7</v>
      </c>
    </row>
    <row r="108" spans="1:15" s="1097" customFormat="1" ht="18" hidden="1" customHeight="1">
      <c r="A108" s="1096" t="str">
        <f>Index!$A$2</f>
        <v>V20181222</v>
      </c>
      <c r="B108" s="1098"/>
      <c r="C108" s="1099"/>
      <c r="D108" s="1100"/>
      <c r="E108" s="1100" t="str">
        <f>$A$107&amp;"_"&amp;E116</f>
        <v>F-16.04.1_010</v>
      </c>
      <c r="F108" s="1100"/>
      <c r="G108" s="1100"/>
      <c r="H108" s="1100"/>
      <c r="I108" s="1100"/>
      <c r="J108" s="1100"/>
      <c r="K108" s="1100"/>
      <c r="L108" s="1100"/>
      <c r="M108" s="1100"/>
      <c r="N108" s="1101"/>
    </row>
    <row r="109" spans="1:15" s="1097" customFormat="1" ht="18" hidden="1" customHeight="1">
      <c r="A109" s="1096" t="str">
        <f>"R:A1:P"&amp;ROW(A153)+1</f>
        <v>R:A1:P154</v>
      </c>
      <c r="B109" s="1102"/>
      <c r="C109" s="1103"/>
      <c r="D109" s="1104"/>
      <c r="E109" s="1105"/>
      <c r="F109" s="1106"/>
      <c r="G109" s="1107"/>
      <c r="H109" s="1107"/>
      <c r="I109" s="1107"/>
      <c r="J109" s="1107"/>
      <c r="K109" s="1107"/>
    </row>
    <row r="110" spans="1:15" s="1097" customFormat="1" ht="18" hidden="1" customHeight="1">
      <c r="A110" s="1096"/>
      <c r="B110" s="1102"/>
      <c r="C110" s="1103"/>
      <c r="D110" s="1108"/>
      <c r="E110" s="1109"/>
      <c r="F110" s="1110"/>
      <c r="G110" s="1111">
        <f>N111</f>
        <v>0</v>
      </c>
      <c r="H110" s="1107"/>
      <c r="I110" s="1107"/>
      <c r="J110" s="1107"/>
      <c r="K110" s="1107"/>
    </row>
    <row r="111" spans="1:15" s="1097" customFormat="1" ht="18" hidden="1" customHeight="1">
      <c r="A111" s="1096"/>
      <c r="B111" s="1102"/>
      <c r="C111" s="1103"/>
      <c r="D111" s="1112"/>
      <c r="E111" s="1113"/>
      <c r="F111" s="1114"/>
      <c r="N111" s="1097">
        <f>COUNTIF(E122:F122,"&lt;&gt;0")-COUNTBLANK(E122:F122)</f>
        <v>0</v>
      </c>
    </row>
    <row r="112" spans="1:15">
      <c r="B112" s="63" t="s">
        <v>1784</v>
      </c>
      <c r="C112" s="1529"/>
      <c r="D112" s="1530"/>
      <c r="E112" s="1531"/>
    </row>
    <row r="113" spans="1:15">
      <c r="B113" s="1531"/>
      <c r="C113" s="1529"/>
      <c r="D113" s="1530"/>
      <c r="E113" s="1531"/>
    </row>
    <row r="114" spans="1:15" ht="21">
      <c r="A114" s="1100" t="s">
        <v>718</v>
      </c>
      <c r="B114" s="1532"/>
      <c r="C114" s="1533"/>
      <c r="D114" s="1995" t="s">
        <v>551</v>
      </c>
      <c r="E114" s="546" t="s">
        <v>54</v>
      </c>
    </row>
    <row r="115" spans="1:15" ht="21">
      <c r="A115" s="1100" t="s">
        <v>718</v>
      </c>
      <c r="B115" s="1534"/>
      <c r="C115" s="1535"/>
      <c r="D115" s="1996"/>
      <c r="E115" s="399" t="s">
        <v>1785</v>
      </c>
    </row>
    <row r="116" spans="1:15">
      <c r="A116" s="1100" t="s">
        <v>718</v>
      </c>
      <c r="B116" s="1536"/>
      <c r="C116" s="1537"/>
      <c r="D116" s="1698"/>
      <c r="E116" s="1245" t="s">
        <v>292</v>
      </c>
    </row>
    <row r="117" spans="1:15">
      <c r="A117" s="1156" t="str">
        <f>$A$107&amp;"_"&amp;B117</f>
        <v>F-16.04.1_020</v>
      </c>
      <c r="B117" s="361" t="s">
        <v>293</v>
      </c>
      <c r="C117" s="274" t="s">
        <v>59</v>
      </c>
      <c r="D117" s="115" t="s">
        <v>60</v>
      </c>
      <c r="E117" s="1170"/>
    </row>
    <row r="118" spans="1:15">
      <c r="A118" s="1156" t="str">
        <f t="shared" ref="A118:A121" si="4">$A$107&amp;"_"&amp;B118</f>
        <v>F-16.04.1_030</v>
      </c>
      <c r="B118" s="362" t="s">
        <v>294</v>
      </c>
      <c r="C118" s="274" t="s">
        <v>55</v>
      </c>
      <c r="D118" s="275" t="s">
        <v>595</v>
      </c>
      <c r="E118" s="1170"/>
    </row>
    <row r="119" spans="1:15">
      <c r="A119" s="1156" t="str">
        <f t="shared" si="4"/>
        <v>F-16.04.1_040</v>
      </c>
      <c r="B119" s="362" t="s">
        <v>295</v>
      </c>
      <c r="C119" s="274" t="s">
        <v>61</v>
      </c>
      <c r="D119" s="115" t="s">
        <v>1576</v>
      </c>
      <c r="E119" s="1170"/>
    </row>
    <row r="120" spans="1:15" ht="21">
      <c r="A120" s="1156" t="str">
        <f t="shared" si="4"/>
        <v>F-16.04.1_090</v>
      </c>
      <c r="B120" s="453" t="s">
        <v>300</v>
      </c>
      <c r="C120" s="228" t="s">
        <v>1786</v>
      </c>
      <c r="D120" s="354" t="s">
        <v>519</v>
      </c>
      <c r="E120" s="688">
        <f>SUM($E$117:$E$119)</f>
        <v>0</v>
      </c>
    </row>
    <row r="121" spans="1:15" ht="21">
      <c r="A121" s="1156" t="str">
        <f t="shared" si="4"/>
        <v>F-16.04.1_100</v>
      </c>
      <c r="B121" s="375">
        <v>100</v>
      </c>
      <c r="C121" s="228" t="s">
        <v>1771</v>
      </c>
      <c r="D121" s="354" t="s">
        <v>1787</v>
      </c>
      <c r="E121" s="1170"/>
    </row>
    <row r="122" spans="1:15">
      <c r="A122" s="1100" t="s">
        <v>718</v>
      </c>
      <c r="C122" s="140"/>
      <c r="D122" s="142"/>
      <c r="E122" s="1072">
        <f>IF('20'!$G$8="N",0,IF(E120='20'!E104+'20'!F104,0,"{F 16.04.1, r090, c010} = +{F 20.03, r083, c010} + {F 20.03, r083, c020}"))</f>
        <v>0</v>
      </c>
    </row>
    <row r="123" spans="1:15">
      <c r="A123" s="1100" t="s">
        <v>718</v>
      </c>
      <c r="C123" s="140"/>
      <c r="D123" s="142"/>
    </row>
    <row r="124" spans="1:15">
      <c r="A124" s="1100" t="s">
        <v>718</v>
      </c>
      <c r="C124" s="140"/>
      <c r="D124" s="142"/>
    </row>
    <row r="125" spans="1:15">
      <c r="A125" s="1156" t="s">
        <v>724</v>
      </c>
      <c r="C125" s="140"/>
      <c r="D125" s="142"/>
    </row>
    <row r="126" spans="1:15" s="1097" customFormat="1" ht="18" hidden="1" customHeight="1">
      <c r="A126" s="1096" t="s">
        <v>1252</v>
      </c>
      <c r="B126" s="1118">
        <v>2</v>
      </c>
      <c r="C126" s="1118">
        <v>1</v>
      </c>
      <c r="D126" s="1119">
        <v>13</v>
      </c>
      <c r="E126" s="1182">
        <v>5</v>
      </c>
      <c r="F126" s="1120">
        <v>3</v>
      </c>
      <c r="G126" s="1121">
        <v>4</v>
      </c>
      <c r="H126" s="1122">
        <v>4</v>
      </c>
      <c r="I126" s="1122">
        <v>4</v>
      </c>
      <c r="J126" s="1123">
        <v>4</v>
      </c>
      <c r="K126" s="1123">
        <v>5</v>
      </c>
      <c r="L126" s="1124">
        <v>4</v>
      </c>
      <c r="M126" s="1124">
        <v>6</v>
      </c>
      <c r="N126" s="1125">
        <v>4</v>
      </c>
      <c r="O126" s="1125">
        <v>7</v>
      </c>
    </row>
    <row r="127" spans="1:15" s="1097" customFormat="1" ht="18" hidden="1" customHeight="1">
      <c r="A127" s="1096" t="str">
        <f>Index!$A$2</f>
        <v>V20181222</v>
      </c>
      <c r="B127" s="1098"/>
      <c r="C127" s="1099"/>
      <c r="D127" s="1100"/>
      <c r="E127" s="1100" t="str">
        <f>$A$126&amp;"_"&amp;E137</f>
        <v>F-16.05_010</v>
      </c>
      <c r="F127" s="1100" t="str">
        <f>$A$126&amp;"_"&amp;F137</f>
        <v>F-16.05_020</v>
      </c>
      <c r="G127" s="1100"/>
      <c r="H127" s="1100"/>
      <c r="I127" s="1100"/>
      <c r="J127" s="1100"/>
      <c r="K127" s="1100"/>
      <c r="L127" s="1100"/>
      <c r="M127" s="1100"/>
      <c r="N127" s="1101"/>
    </row>
    <row r="128" spans="1:15" s="1097" customFormat="1" ht="18" hidden="1" customHeight="1">
      <c r="A128" s="1096" t="str">
        <f>"R:A1:P"&amp;ROW(A169)+1</f>
        <v>R:A1:P170</v>
      </c>
      <c r="B128" s="1102"/>
      <c r="C128" s="1103"/>
      <c r="D128" s="1104"/>
      <c r="E128" s="1105"/>
      <c r="F128" s="1106"/>
      <c r="G128" s="1107"/>
      <c r="H128" s="1107"/>
      <c r="I128" s="1107"/>
      <c r="J128" s="1107"/>
      <c r="K128" s="1107"/>
    </row>
    <row r="129" spans="1:14" s="1097" customFormat="1" ht="18" hidden="1" customHeight="1">
      <c r="A129" s="1100"/>
      <c r="B129" s="1102"/>
      <c r="C129" s="1103"/>
      <c r="D129" s="1108"/>
      <c r="E129" s="1109"/>
      <c r="F129" s="1110"/>
      <c r="G129" s="1111">
        <f>N130</f>
        <v>0</v>
      </c>
      <c r="H129" s="1107"/>
      <c r="I129" s="1107"/>
      <c r="J129" s="1107"/>
      <c r="K129" s="1107"/>
    </row>
    <row r="130" spans="1:14" s="1097" customFormat="1" ht="18" hidden="1" customHeight="1">
      <c r="A130" s="1100"/>
      <c r="B130" s="1102"/>
      <c r="C130" s="1103"/>
      <c r="D130" s="1112"/>
      <c r="E130" s="1113"/>
      <c r="F130" s="1114"/>
      <c r="N130" s="1097">
        <f>COUNTIF(E146:F146,"&lt;&gt;0")-COUNTBLANK(E146:F146)</f>
        <v>0</v>
      </c>
    </row>
    <row r="131" spans="1:14" s="1097" customFormat="1" ht="18" hidden="1" customHeight="1">
      <c r="A131" s="1100"/>
      <c r="B131" s="1102"/>
      <c r="C131" s="1103"/>
      <c r="D131" s="1112"/>
      <c r="E131" s="1113"/>
      <c r="F131" s="1114"/>
    </row>
    <row r="132" spans="1:14" s="1116" customFormat="1">
      <c r="A132" s="1100" t="s">
        <v>718</v>
      </c>
      <c r="B132" s="1115"/>
    </row>
    <row r="133" spans="1:14">
      <c r="A133" s="1100" t="s">
        <v>718</v>
      </c>
      <c r="B133" s="143" t="s">
        <v>576</v>
      </c>
      <c r="D133" s="143"/>
    </row>
    <row r="134" spans="1:14">
      <c r="A134" s="1100" t="s">
        <v>718</v>
      </c>
      <c r="C134" s="112"/>
      <c r="D134" s="112"/>
    </row>
    <row r="135" spans="1:14" ht="42">
      <c r="A135" s="1100" t="s">
        <v>718</v>
      </c>
      <c r="B135" s="524"/>
      <c r="C135" s="537"/>
      <c r="D135" s="992" t="s">
        <v>551</v>
      </c>
      <c r="E135" s="546" t="s">
        <v>54</v>
      </c>
      <c r="F135" s="397" t="s">
        <v>1469</v>
      </c>
    </row>
    <row r="136" spans="1:14" ht="21">
      <c r="A136" s="1100" t="s">
        <v>718</v>
      </c>
      <c r="B136" s="527"/>
      <c r="C136" s="538"/>
      <c r="D136" s="445"/>
      <c r="E136" s="399" t="s">
        <v>1794</v>
      </c>
      <c r="F136" s="399" t="s">
        <v>1794</v>
      </c>
    </row>
    <row r="137" spans="1:14">
      <c r="A137" s="1100" t="s">
        <v>718</v>
      </c>
      <c r="B137" s="530"/>
      <c r="C137" s="539"/>
      <c r="D137" s="445"/>
      <c r="E137" s="547" t="s">
        <v>292</v>
      </c>
      <c r="F137" s="547" t="s">
        <v>293</v>
      </c>
    </row>
    <row r="138" spans="1:14">
      <c r="A138" s="1156" t="str">
        <f t="shared" ref="A138:A145" si="5">$A$126&amp;"_"&amp;B138</f>
        <v>F-16.05_020</v>
      </c>
      <c r="B138" s="361" t="s">
        <v>293</v>
      </c>
      <c r="C138" s="227" t="s">
        <v>55</v>
      </c>
      <c r="D138" s="275" t="s">
        <v>595</v>
      </c>
      <c r="E138" s="1170"/>
      <c r="F138" s="1170"/>
    </row>
    <row r="139" spans="1:14">
      <c r="A139" s="1156" t="str">
        <f t="shared" si="5"/>
        <v>F-16.05_030</v>
      </c>
      <c r="B139" s="362" t="s">
        <v>294</v>
      </c>
      <c r="C139" s="227" t="s">
        <v>61</v>
      </c>
      <c r="D139" s="115" t="s">
        <v>1576</v>
      </c>
      <c r="E139" s="1170"/>
      <c r="F139" s="1170"/>
    </row>
    <row r="140" spans="1:14" ht="31.5">
      <c r="A140" s="1156" t="str">
        <f t="shared" si="5"/>
        <v>F-16.05_040</v>
      </c>
      <c r="B140" s="362" t="s">
        <v>295</v>
      </c>
      <c r="C140" s="220" t="s">
        <v>15</v>
      </c>
      <c r="D140" s="160" t="s">
        <v>1568</v>
      </c>
      <c r="E140" s="1170"/>
      <c r="F140" s="1170"/>
    </row>
    <row r="141" spans="1:14">
      <c r="A141" s="1156" t="str">
        <f t="shared" si="5"/>
        <v>F-16.05_050</v>
      </c>
      <c r="B141" s="363" t="s">
        <v>296</v>
      </c>
      <c r="C141" s="220" t="s">
        <v>32</v>
      </c>
      <c r="D141" s="44" t="s">
        <v>1569</v>
      </c>
      <c r="E141" s="1170"/>
      <c r="F141" s="1170"/>
    </row>
    <row r="142" spans="1:14">
      <c r="A142" s="1156" t="str">
        <f t="shared" si="5"/>
        <v>F-16.05_060</v>
      </c>
      <c r="B142" s="545" t="s">
        <v>297</v>
      </c>
      <c r="C142" s="220" t="s">
        <v>48</v>
      </c>
      <c r="D142" s="44" t="s">
        <v>1570</v>
      </c>
      <c r="E142" s="1170"/>
      <c r="F142" s="1170"/>
    </row>
    <row r="143" spans="1:14" ht="21">
      <c r="A143" s="1156" t="str">
        <f t="shared" si="5"/>
        <v>F-16.05_070</v>
      </c>
      <c r="B143" s="545" t="s">
        <v>298</v>
      </c>
      <c r="C143" s="277" t="s">
        <v>479</v>
      </c>
      <c r="D143" s="278" t="s">
        <v>519</v>
      </c>
      <c r="E143" s="862">
        <f>SUM($E$138:$E$142)</f>
        <v>0</v>
      </c>
      <c r="F143" s="1089"/>
    </row>
    <row r="144" spans="1:14" ht="31.5">
      <c r="A144" s="1156" t="str">
        <f t="shared" si="5"/>
        <v>F-16.05_071</v>
      </c>
      <c r="B144" s="1747" t="s">
        <v>1788</v>
      </c>
      <c r="C144" s="157" t="s">
        <v>1789</v>
      </c>
      <c r="D144" s="337" t="s">
        <v>1790</v>
      </c>
      <c r="E144" s="1170"/>
      <c r="F144" s="1089"/>
    </row>
    <row r="145" spans="1:15" ht="31.5">
      <c r="A145" s="1156" t="str">
        <f t="shared" si="5"/>
        <v>F-16.05_072</v>
      </c>
      <c r="B145" s="1747" t="s">
        <v>1791</v>
      </c>
      <c r="C145" s="157" t="s">
        <v>1792</v>
      </c>
      <c r="D145" s="337" t="s">
        <v>1793</v>
      </c>
      <c r="E145" s="1170"/>
      <c r="F145" s="1089"/>
    </row>
    <row r="146" spans="1:15">
      <c r="A146" s="1156" t="s">
        <v>724</v>
      </c>
      <c r="B146"/>
      <c r="C146"/>
      <c r="D146"/>
      <c r="E146" s="1072">
        <f>IF('20'!$G$8="N",0,IF(E143='20'!E105+'20'!F105,0,"{F 16.05, r070, c010} = +{F 20.03, r090, c010} + {F 20.03, r090, c020}"))</f>
        <v>0</v>
      </c>
      <c r="F146"/>
    </row>
    <row r="147" spans="1:15" s="1097" customFormat="1" ht="18" hidden="1" customHeight="1">
      <c r="A147" s="1096" t="s">
        <v>1253</v>
      </c>
      <c r="B147" s="1118">
        <v>2</v>
      </c>
      <c r="C147" s="1118">
        <v>1</v>
      </c>
      <c r="D147" s="1119">
        <v>13</v>
      </c>
      <c r="E147" s="1182">
        <v>5</v>
      </c>
      <c r="F147" s="1120">
        <v>3</v>
      </c>
      <c r="G147" s="1121">
        <v>4</v>
      </c>
      <c r="H147" s="1122">
        <v>4</v>
      </c>
      <c r="I147" s="1122">
        <v>4</v>
      </c>
      <c r="J147" s="1123">
        <v>4</v>
      </c>
      <c r="K147" s="1123">
        <v>5</v>
      </c>
      <c r="L147" s="1124">
        <v>4</v>
      </c>
      <c r="M147" s="1124">
        <v>6</v>
      </c>
      <c r="N147" s="1125">
        <v>4</v>
      </c>
      <c r="O147" s="1125">
        <v>7</v>
      </c>
    </row>
    <row r="148" spans="1:15" s="1097" customFormat="1" ht="18" hidden="1" customHeight="1">
      <c r="A148" s="1096" t="str">
        <f>Index!$A$2</f>
        <v>V20181222</v>
      </c>
      <c r="B148" s="1098"/>
      <c r="C148" s="1099"/>
      <c r="D148" s="1100"/>
      <c r="E148" s="1100" t="str">
        <f>$A$147&amp;"_"&amp;E158</f>
        <v>F-16.06_010</v>
      </c>
      <c r="F148" s="1100"/>
      <c r="G148" s="1100"/>
      <c r="H148" s="1100"/>
      <c r="I148" s="1100"/>
      <c r="J148" s="1100"/>
      <c r="K148" s="1100"/>
      <c r="L148" s="1100"/>
      <c r="M148" s="1100"/>
      <c r="N148" s="1101"/>
    </row>
    <row r="149" spans="1:15" s="1097" customFormat="1" ht="18" hidden="1" customHeight="1">
      <c r="A149" s="1096" t="str">
        <f>"R:A1:P"&amp;ROW(A184)+1</f>
        <v>R:A1:P185</v>
      </c>
      <c r="B149" s="1102"/>
      <c r="C149" s="1103"/>
      <c r="D149" s="1104"/>
      <c r="E149" s="1105"/>
      <c r="F149" s="1106"/>
      <c r="G149" s="1107"/>
      <c r="H149" s="1107"/>
      <c r="I149" s="1107"/>
      <c r="J149" s="1107"/>
      <c r="K149" s="1107"/>
    </row>
    <row r="150" spans="1:15" s="1097" customFormat="1" ht="18" hidden="1" customHeight="1">
      <c r="A150" s="1100"/>
      <c r="B150" s="1102"/>
      <c r="C150" s="1103"/>
      <c r="D150" s="1108"/>
      <c r="E150" s="1109"/>
      <c r="F150" s="1110"/>
      <c r="G150" s="1111">
        <f>N151</f>
        <v>0</v>
      </c>
      <c r="H150" s="1107"/>
      <c r="I150" s="1107"/>
      <c r="J150" s="1107"/>
      <c r="K150" s="1107"/>
    </row>
    <row r="151" spans="1:15" s="1097" customFormat="1" ht="18" hidden="1" customHeight="1">
      <c r="A151" s="1100"/>
      <c r="B151" s="1102"/>
      <c r="C151" s="1103"/>
      <c r="D151" s="1112"/>
      <c r="E151" s="1113"/>
      <c r="F151" s="1114"/>
      <c r="N151" s="1097">
        <f>COUNTIF(F156:I163,"&lt;&gt;0")-COUNTBLANK(F156:I163)</f>
        <v>0</v>
      </c>
    </row>
    <row r="152" spans="1:15" s="1116" customFormat="1">
      <c r="A152" s="1100" t="s">
        <v>718</v>
      </c>
      <c r="B152" s="1115"/>
    </row>
    <row r="153" spans="1:15">
      <c r="A153" s="1100" t="s">
        <v>718</v>
      </c>
      <c r="C153" s="112"/>
      <c r="D153" s="112"/>
      <c r="E153" s="112"/>
    </row>
    <row r="154" spans="1:15">
      <c r="A154" s="1100" t="s">
        <v>718</v>
      </c>
      <c r="B154" s="131" t="s">
        <v>577</v>
      </c>
      <c r="D154" s="131"/>
    </row>
    <row r="155" spans="1:15" ht="15" customHeight="1">
      <c r="A155" s="1100" t="s">
        <v>718</v>
      </c>
    </row>
    <row r="156" spans="1:15" s="133" customFormat="1" ht="21">
      <c r="A156" s="1100" t="s">
        <v>718</v>
      </c>
      <c r="B156" s="524"/>
      <c r="C156" s="525"/>
      <c r="D156" s="1995" t="s">
        <v>551</v>
      </c>
      <c r="E156" s="613" t="s">
        <v>54</v>
      </c>
    </row>
    <row r="157" spans="1:15" s="133" customFormat="1" ht="21">
      <c r="A157" s="1100"/>
      <c r="B157" s="527"/>
      <c r="C157" s="1538"/>
      <c r="D157" s="1996"/>
      <c r="E157" s="399" t="s">
        <v>1799</v>
      </c>
    </row>
    <row r="158" spans="1:15" s="133" customFormat="1">
      <c r="A158" s="1100" t="s">
        <v>718</v>
      </c>
      <c r="B158" s="530"/>
      <c r="C158" s="548"/>
      <c r="D158" s="1997"/>
      <c r="E158" s="547" t="s">
        <v>292</v>
      </c>
    </row>
    <row r="159" spans="1:15" s="229" customFormat="1" ht="21">
      <c r="A159" s="1156" t="str">
        <f>$A$147&amp;"_"&amp;B159</f>
        <v>F-16.06_010</v>
      </c>
      <c r="B159" s="367" t="s">
        <v>292</v>
      </c>
      <c r="C159" s="251" t="s">
        <v>217</v>
      </c>
      <c r="D159" s="235" t="s">
        <v>1795</v>
      </c>
      <c r="E159" s="1170"/>
    </row>
    <row r="160" spans="1:15" s="229" customFormat="1" ht="52.5">
      <c r="A160" s="1156" t="str">
        <f>$A$147&amp;"_"&amp;B160</f>
        <v>F-16.06_020</v>
      </c>
      <c r="B160" s="361" t="s">
        <v>293</v>
      </c>
      <c r="C160" s="135" t="s">
        <v>218</v>
      </c>
      <c r="D160" s="237" t="s">
        <v>1796</v>
      </c>
      <c r="E160" s="1170"/>
    </row>
    <row r="161" spans="1:15" s="236" customFormat="1" ht="21">
      <c r="A161" s="1156" t="str">
        <f>$A$147&amp;"_"&amp;B161</f>
        <v>F-16.06_030</v>
      </c>
      <c r="B161" s="362" t="s">
        <v>294</v>
      </c>
      <c r="C161" s="251" t="s">
        <v>383</v>
      </c>
      <c r="D161" s="237" t="s">
        <v>1797</v>
      </c>
      <c r="E161" s="1170"/>
    </row>
    <row r="162" spans="1:15" s="229" customFormat="1" ht="21">
      <c r="A162" s="1156" t="str">
        <f>$A$147&amp;"_"&amp;B162</f>
        <v>F-16.06_040</v>
      </c>
      <c r="B162" s="362" t="s">
        <v>295</v>
      </c>
      <c r="C162" s="253" t="s">
        <v>219</v>
      </c>
      <c r="D162" s="238" t="s">
        <v>1798</v>
      </c>
      <c r="E162" s="1170"/>
    </row>
    <row r="163" spans="1:15">
      <c r="A163" s="1156" t="str">
        <f>$A$147&amp;"_"&amp;B163</f>
        <v>F-16.06_050</v>
      </c>
      <c r="B163" s="376" t="s">
        <v>296</v>
      </c>
      <c r="C163" s="228" t="s">
        <v>502</v>
      </c>
      <c r="D163" s="355"/>
      <c r="E163" s="862">
        <f>SUM($E$159:$E$162)</f>
        <v>0</v>
      </c>
    </row>
    <row r="164" spans="1:15">
      <c r="A164" s="1097" t="s">
        <v>718</v>
      </c>
      <c r="B164" s="1665"/>
      <c r="C164" s="338"/>
      <c r="D164" s="141"/>
      <c r="E164" s="139"/>
    </row>
    <row r="165" spans="1:15">
      <c r="A165" s="1156" t="s">
        <v>724</v>
      </c>
      <c r="B165" s="1666"/>
      <c r="C165" s="139"/>
      <c r="D165" s="139"/>
      <c r="E165" s="139"/>
    </row>
    <row r="166" spans="1:15" s="1097" customFormat="1" ht="18" hidden="1" customHeight="1">
      <c r="A166" s="1664" t="s">
        <v>1254</v>
      </c>
      <c r="B166" s="1667">
        <v>2</v>
      </c>
      <c r="C166" s="1118">
        <v>1</v>
      </c>
      <c r="D166" s="1119">
        <v>12</v>
      </c>
      <c r="E166" s="1182">
        <v>5</v>
      </c>
      <c r="F166" s="1120">
        <v>3</v>
      </c>
      <c r="G166" s="1121">
        <v>4</v>
      </c>
      <c r="H166" s="1122">
        <v>4</v>
      </c>
      <c r="I166" s="1122">
        <v>4</v>
      </c>
      <c r="J166" s="1123">
        <v>4</v>
      </c>
      <c r="K166" s="1123">
        <v>5</v>
      </c>
      <c r="L166" s="1124">
        <v>4</v>
      </c>
      <c r="M166" s="1124">
        <v>6</v>
      </c>
      <c r="N166" s="1125">
        <v>4</v>
      </c>
      <c r="O166" s="1125">
        <v>7</v>
      </c>
    </row>
    <row r="167" spans="1:15" s="1097" customFormat="1" ht="18" hidden="1" customHeight="1">
      <c r="A167" s="1664" t="str">
        <f>Index!$A$2</f>
        <v>V20181222</v>
      </c>
      <c r="B167" s="1668"/>
      <c r="C167" s="1099"/>
      <c r="D167" s="1100"/>
      <c r="E167" s="1100" t="str">
        <f>$A$166&amp;"_"&amp;E176</f>
        <v>F-16.07_010</v>
      </c>
      <c r="F167" s="1100" t="str">
        <f>$A$166&amp;"_"&amp;F176</f>
        <v>F-16.07_020</v>
      </c>
      <c r="G167" s="1100" t="str">
        <f>$A$166&amp;"_"&amp;G176</f>
        <v>F-16.07_040</v>
      </c>
      <c r="H167" s="1100"/>
      <c r="I167" s="1100"/>
      <c r="J167" s="1100"/>
      <c r="K167" s="1100"/>
      <c r="L167" s="1100"/>
      <c r="M167" s="1100"/>
      <c r="N167" s="1101"/>
    </row>
    <row r="168" spans="1:15" s="1097" customFormat="1" ht="18" hidden="1" customHeight="1">
      <c r="A168" s="1664" t="str">
        <f>"R:A1:P"&amp;ROW(A197)+1</f>
        <v>R:A1:P198</v>
      </c>
      <c r="B168" s="1669"/>
      <c r="C168" s="1103"/>
      <c r="D168" s="1104"/>
      <c r="E168" s="1105"/>
      <c r="F168" s="1106"/>
      <c r="G168" s="1107"/>
      <c r="H168" s="1107"/>
      <c r="I168" s="1107"/>
      <c r="J168" s="1107"/>
      <c r="K168" s="1107"/>
    </row>
    <row r="169" spans="1:15" s="1097" customFormat="1" ht="18" hidden="1" customHeight="1">
      <c r="B169" s="1669"/>
      <c r="C169" s="1103"/>
      <c r="D169" s="1108"/>
      <c r="E169" s="1109"/>
      <c r="F169" s="1110"/>
      <c r="G169" s="1111">
        <f>N170</f>
        <v>0</v>
      </c>
      <c r="H169" s="1107"/>
      <c r="I169" s="1107"/>
      <c r="J169" s="1107"/>
      <c r="K169" s="1107"/>
    </row>
    <row r="170" spans="1:15" s="1097" customFormat="1" ht="18" hidden="1" customHeight="1">
      <c r="B170" s="1669"/>
      <c r="C170" s="1103"/>
      <c r="D170" s="1112"/>
      <c r="E170" s="1113"/>
      <c r="F170" s="1114"/>
      <c r="N170" s="1097">
        <f>COUNTIF(H177:K187,"&lt;&gt;0")-COUNTBLANK(H177:K187)+COUNTIF(E188:H200,"&lt;&gt;0")-COUNTBLANK(E188:H200)</f>
        <v>0</v>
      </c>
    </row>
    <row r="171" spans="1:15" s="1116" customFormat="1">
      <c r="A171" s="1097" t="s">
        <v>718</v>
      </c>
      <c r="B171" s="1670"/>
    </row>
    <row r="172" spans="1:15" s="62" customFormat="1">
      <c r="A172" s="1100" t="s">
        <v>718</v>
      </c>
      <c r="B172" s="63" t="s">
        <v>1800</v>
      </c>
    </row>
    <row r="173" spans="1:15" s="62" customFormat="1">
      <c r="A173" s="1100" t="s">
        <v>718</v>
      </c>
      <c r="C173" s="90"/>
      <c r="D173" s="24"/>
      <c r="E173" s="2100" t="s">
        <v>54</v>
      </c>
      <c r="F173" s="2101"/>
      <c r="G173" s="2088"/>
    </row>
    <row r="174" spans="1:15" s="91" customFormat="1" ht="21">
      <c r="A174" s="1100" t="s">
        <v>718</v>
      </c>
      <c r="B174" s="549"/>
      <c r="C174" s="550"/>
      <c r="D174" s="994" t="s">
        <v>551</v>
      </c>
      <c r="E174" s="613" t="s">
        <v>1801</v>
      </c>
      <c r="F174" s="613" t="s">
        <v>1802</v>
      </c>
      <c r="G174" s="551" t="s">
        <v>149</v>
      </c>
      <c r="H174" s="660"/>
    </row>
    <row r="175" spans="1:15" s="91" customFormat="1" ht="21">
      <c r="A175" s="1100"/>
      <c r="B175" s="1539"/>
      <c r="C175" s="1540"/>
      <c r="D175" s="1493"/>
      <c r="E175" s="1542" t="s">
        <v>1803</v>
      </c>
      <c r="F175" s="1542" t="s">
        <v>1803</v>
      </c>
      <c r="G175" s="1541"/>
      <c r="H175" s="660"/>
    </row>
    <row r="176" spans="1:15" s="91" customFormat="1">
      <c r="A176" s="1100" t="s">
        <v>718</v>
      </c>
      <c r="B176" s="552"/>
      <c r="C176" s="553"/>
      <c r="D176" s="554"/>
      <c r="E176" s="523" t="s">
        <v>292</v>
      </c>
      <c r="F176" s="523" t="s">
        <v>293</v>
      </c>
      <c r="G176" s="523" t="s">
        <v>295</v>
      </c>
      <c r="H176" s="660"/>
      <c r="K176" s="1090"/>
    </row>
    <row r="177" spans="1:9" s="91" customFormat="1" ht="21">
      <c r="A177" s="1156" t="str">
        <f t="shared" ref="A177:A187" si="6">$A$166&amp;"_"&amp;B177</f>
        <v>F-16.07_060</v>
      </c>
      <c r="B177" s="363" t="s">
        <v>297</v>
      </c>
      <c r="C177" s="218" t="s">
        <v>434</v>
      </c>
      <c r="D177" s="82" t="s">
        <v>378</v>
      </c>
      <c r="E177" s="707">
        <f>SUM($E$178:$E$180)</f>
        <v>0</v>
      </c>
      <c r="F177" s="707">
        <f>SUM($F$178:$F$180)</f>
        <v>0</v>
      </c>
      <c r="G177" s="707">
        <f>SUM($G$178:$G$180)</f>
        <v>0</v>
      </c>
      <c r="H177" s="1090">
        <f>IF($G$177&lt;=0,0,"f16.7.a,c40&lt;=0")</f>
        <v>0</v>
      </c>
      <c r="I177" s="1090"/>
    </row>
    <row r="178" spans="1:9" s="91" customFormat="1">
      <c r="A178" s="1156" t="str">
        <f t="shared" si="6"/>
        <v>F-16.07_070</v>
      </c>
      <c r="B178" s="363" t="s">
        <v>298</v>
      </c>
      <c r="C178" s="47" t="s">
        <v>153</v>
      </c>
      <c r="D178" s="82" t="s">
        <v>398</v>
      </c>
      <c r="E178" s="886"/>
      <c r="F178" s="947"/>
      <c r="G178" s="947"/>
      <c r="H178" s="1090">
        <f>IF($G$178&lt;=0,0,"f16.7.a,c40&lt;=0")</f>
        <v>0</v>
      </c>
      <c r="I178" s="1090"/>
    </row>
    <row r="179" spans="1:9" s="91" customFormat="1">
      <c r="A179" s="1156" t="str">
        <f t="shared" si="6"/>
        <v>F-16.07_080</v>
      </c>
      <c r="B179" s="363" t="s">
        <v>299</v>
      </c>
      <c r="C179" s="47" t="s">
        <v>154</v>
      </c>
      <c r="D179" s="82" t="s">
        <v>397</v>
      </c>
      <c r="E179" s="886"/>
      <c r="F179" s="947"/>
      <c r="G179" s="947"/>
      <c r="H179" s="1090">
        <f>IF($G$179&lt;=0,0,"f16.7.a,c40&lt;=0")</f>
        <v>0</v>
      </c>
      <c r="I179" s="1090"/>
    </row>
    <row r="180" spans="1:9" s="91" customFormat="1">
      <c r="A180" s="1156" t="str">
        <f t="shared" si="6"/>
        <v>F-16.07_090</v>
      </c>
      <c r="B180" s="363" t="s">
        <v>300</v>
      </c>
      <c r="C180" s="47" t="s">
        <v>155</v>
      </c>
      <c r="D180" s="82" t="s">
        <v>397</v>
      </c>
      <c r="E180" s="886"/>
      <c r="F180" s="947"/>
      <c r="G180" s="947"/>
      <c r="H180" s="1090">
        <f>IF($G$180&lt;=0,0,"f16.7.a,c40&lt;=0")</f>
        <v>0</v>
      </c>
      <c r="I180" s="1090"/>
    </row>
    <row r="181" spans="1:9" s="91" customFormat="1">
      <c r="A181" s="1156" t="str">
        <f t="shared" si="6"/>
        <v>F-16.07_100</v>
      </c>
      <c r="B181" s="363" t="s">
        <v>301</v>
      </c>
      <c r="C181" s="222" t="s">
        <v>369</v>
      </c>
      <c r="D181" s="223" t="s">
        <v>150</v>
      </c>
      <c r="E181" s="886"/>
      <c r="F181" s="947"/>
      <c r="G181" s="947"/>
      <c r="H181" s="1090">
        <f>IF($G$181&lt;=0,0,"f16.7.a,c40&lt;=0")</f>
        <v>0</v>
      </c>
      <c r="I181" s="1090"/>
    </row>
    <row r="182" spans="1:9" s="91" customFormat="1">
      <c r="A182" s="1156" t="str">
        <f t="shared" si="6"/>
        <v>F-16.07_110</v>
      </c>
      <c r="B182" s="363" t="s">
        <v>302</v>
      </c>
      <c r="C182" s="163" t="s">
        <v>151</v>
      </c>
      <c r="D182" s="223" t="s">
        <v>520</v>
      </c>
      <c r="E182" s="886"/>
      <c r="F182" s="947"/>
      <c r="G182" s="947"/>
      <c r="H182" s="1090">
        <f>IF($G$182&lt;=0,0,"f16.7.a,c40&lt;=0")</f>
        <v>0</v>
      </c>
      <c r="I182" s="1090"/>
    </row>
    <row r="183" spans="1:9" s="91" customFormat="1">
      <c r="A183" s="1156" t="str">
        <f t="shared" si="6"/>
        <v>F-16.07_120</v>
      </c>
      <c r="B183" s="363" t="s">
        <v>303</v>
      </c>
      <c r="C183" s="234" t="s">
        <v>152</v>
      </c>
      <c r="D183" s="223" t="s">
        <v>521</v>
      </c>
      <c r="E183" s="886"/>
      <c r="F183" s="947"/>
      <c r="G183" s="947"/>
      <c r="H183" s="1090">
        <f>IF($G$183&lt;=0,0,"f16.7.a,c40&lt;=0")</f>
        <v>0</v>
      </c>
      <c r="I183" s="1090"/>
    </row>
    <row r="184" spans="1:9" s="91" customFormat="1" ht="31.5">
      <c r="A184" s="1156" t="str">
        <f t="shared" si="6"/>
        <v>F-16.07_130</v>
      </c>
      <c r="B184" s="363" t="s">
        <v>304</v>
      </c>
      <c r="C184" s="234" t="s">
        <v>68</v>
      </c>
      <c r="D184" s="223" t="s">
        <v>522</v>
      </c>
      <c r="E184" s="886"/>
      <c r="F184" s="1091"/>
      <c r="G184" s="947"/>
      <c r="H184" s="1090">
        <f>IF($G$184&lt;=0,0,"f16.7.a,c40&lt;=0")</f>
        <v>0</v>
      </c>
    </row>
    <row r="185" spans="1:9" s="91" customFormat="1">
      <c r="A185" s="1156" t="str">
        <f t="shared" si="6"/>
        <v>F-16.07_140</v>
      </c>
      <c r="B185" s="363" t="s">
        <v>305</v>
      </c>
      <c r="C185" s="234" t="s">
        <v>69</v>
      </c>
      <c r="D185" s="223" t="s">
        <v>523</v>
      </c>
      <c r="E185" s="886"/>
      <c r="F185" s="947"/>
      <c r="G185" s="947"/>
      <c r="H185" s="1090">
        <f>IF($G$185&lt;=0,0,"f16.7.a,c40&lt;=0")</f>
        <v>0</v>
      </c>
      <c r="I185" s="1090"/>
    </row>
    <row r="186" spans="1:9" s="91" customFormat="1">
      <c r="A186" s="1156" t="str">
        <f t="shared" si="6"/>
        <v>F-16.07_145</v>
      </c>
      <c r="B186" s="363">
        <v>145</v>
      </c>
      <c r="C186" s="619" t="s">
        <v>93</v>
      </c>
      <c r="D186" s="620" t="s">
        <v>150</v>
      </c>
      <c r="E186" s="886"/>
      <c r="F186" s="947"/>
      <c r="G186" s="947"/>
      <c r="H186" s="1090">
        <f>IF($G$186&lt;=0,0,"f16.7.a,c40&lt;=0")</f>
        <v>0</v>
      </c>
      <c r="I186" s="1090"/>
    </row>
    <row r="187" spans="1:9" s="91" customFormat="1">
      <c r="A187" s="1156" t="str">
        <f t="shared" si="6"/>
        <v>F-16.07_150</v>
      </c>
      <c r="B187" s="376" t="s">
        <v>306</v>
      </c>
      <c r="C187" s="333" t="s">
        <v>379</v>
      </c>
      <c r="D187" s="1748"/>
      <c r="E187" s="1749">
        <f>$E$177+$E$181</f>
        <v>0</v>
      </c>
      <c r="F187" s="862">
        <f>$F$177+$F$181</f>
        <v>0</v>
      </c>
      <c r="G187" s="1093">
        <f>$G$177+$G$181</f>
        <v>0</v>
      </c>
      <c r="H187" s="1090">
        <f>IF($G$187&lt;=0,0,"f16.7.a,c40&lt;=0")</f>
        <v>0</v>
      </c>
      <c r="I187" s="1090"/>
    </row>
    <row r="188" spans="1:9" ht="24" customHeight="1">
      <c r="A188" s="1156" t="s">
        <v>724</v>
      </c>
      <c r="E188" s="1094"/>
      <c r="G188" s="1095"/>
      <c r="I188" s="1084"/>
    </row>
    <row r="189" spans="1:9">
      <c r="E189" s="915"/>
      <c r="F189" s="915"/>
      <c r="I189" s="1084"/>
    </row>
    <row r="190" spans="1:9">
      <c r="E190" s="915">
        <f>IF($E$177&gt;=0,0,"F16.7,c10&gt;=0")</f>
        <v>0</v>
      </c>
      <c r="F190" s="915">
        <f>IF($F$177&lt;=0,0,"F16.7,c20&lt;=0")</f>
        <v>0</v>
      </c>
      <c r="I190" s="1084"/>
    </row>
    <row r="191" spans="1:9">
      <c r="E191" s="915">
        <f>IF($E$178&gt;=0,0,"F16.7,c10&gt;=0")</f>
        <v>0</v>
      </c>
      <c r="F191" s="915">
        <f>IF($F$178&lt;=0,0,"F16.7,c20&lt;=0")</f>
        <v>0</v>
      </c>
      <c r="I191" s="1084"/>
    </row>
    <row r="192" spans="1:9">
      <c r="E192" s="915">
        <f>IF($E$179&gt;=0,0,"F16.7,c10&gt;=0")</f>
        <v>0</v>
      </c>
      <c r="F192" s="915">
        <f>IF($F$179&lt;=0,0,"F16.7,c20&lt;=0")</f>
        <v>0</v>
      </c>
      <c r="I192" s="1084"/>
    </row>
    <row r="193" spans="5:6">
      <c r="E193" s="915">
        <f>IF($E$180&gt;=0,0,"F16.7,c10&gt;=0")</f>
        <v>0</v>
      </c>
      <c r="F193" s="915">
        <f>IF($F$180&lt;=0,0,"F16.7,c20&lt;=0")</f>
        <v>0</v>
      </c>
    </row>
    <row r="194" spans="5:6">
      <c r="E194" s="915">
        <f>IF($E$181&gt;=0,0,"F16.7,c10&gt;=0")</f>
        <v>0</v>
      </c>
      <c r="F194" s="915">
        <f>IF($F$181&lt;=0,0,"F16.7,c20&lt;=0")</f>
        <v>0</v>
      </c>
    </row>
    <row r="195" spans="5:6">
      <c r="E195" s="915">
        <f>IF($E$182&gt;=0,0,"F16.7,c10&gt;=0")</f>
        <v>0</v>
      </c>
      <c r="F195" s="915">
        <f>IF($F$182&lt;=0,0,"F16.7,c20&lt;=0")</f>
        <v>0</v>
      </c>
    </row>
    <row r="196" spans="5:6">
      <c r="E196" s="915">
        <f>IF($E$183&gt;=0,0,"F16.7,c10&gt;=0")</f>
        <v>0</v>
      </c>
      <c r="F196" s="915">
        <f>IF($F$183&lt;=0,0,"F16.7,c20&lt;=0")</f>
        <v>0</v>
      </c>
    </row>
    <row r="197" spans="5:6">
      <c r="E197" s="915">
        <f>IF($E$184&gt;=0,0,"F16.7,c10&gt;=0")</f>
        <v>0</v>
      </c>
      <c r="F197" s="133"/>
    </row>
    <row r="198" spans="5:6">
      <c r="E198" s="915">
        <f>IF($E$185&gt;=0,0,"F16.7,c10&gt;=0")</f>
        <v>0</v>
      </c>
      <c r="F198" s="915">
        <f>IF($F$185&lt;=0,0,"F16.7,c20&lt;=0")</f>
        <v>0</v>
      </c>
    </row>
    <row r="199" spans="5:6">
      <c r="E199" s="915">
        <f>IF($E$186&gt;=0,0,"F16.7,c10&gt;=0")</f>
        <v>0</v>
      </c>
      <c r="F199" s="915">
        <f>IF($F$186&lt;=0,0,"F16.7,c20&lt;=0")</f>
        <v>0</v>
      </c>
    </row>
    <row r="200" spans="5:6">
      <c r="E200" s="915">
        <f>IF($E$187&gt;=0,0,"F16.7,c10&gt;=0")</f>
        <v>0</v>
      </c>
      <c r="F200" s="915">
        <f>IF($F$187&lt;=0,0,"F16.7,c20&lt;=0")</f>
        <v>0</v>
      </c>
    </row>
  </sheetData>
  <sheetProtection password="C2F4" sheet="1" objects="1" scenarios="1"/>
  <mergeCells count="7">
    <mergeCell ref="E173:G173"/>
    <mergeCell ref="D114:D115"/>
    <mergeCell ref="D156:D158"/>
    <mergeCell ref="D11:D12"/>
    <mergeCell ref="E10:F10"/>
    <mergeCell ref="D54:D56"/>
    <mergeCell ref="E96:E97"/>
  </mergeCells>
  <dataValidations count="6">
    <dataValidation type="whole" allowBlank="1" showInputMessage="1" showErrorMessage="1" error="wrong number format or sign_x000a_" sqref="F177">
      <formula1>-99999999</formula1>
      <formula2>0</formula2>
    </dataValidation>
    <dataValidation type="whole" allowBlank="1" showInputMessage="1" showErrorMessage="1" error="wrong number format or sign" sqref="F185:F186 F178:F183 G178:G186">
      <formula1>-99999999</formula1>
      <formula2>0</formula2>
    </dataValidation>
    <dataValidation type="whole" allowBlank="1" showInputMessage="1" showErrorMessage="1" error="wrong number format or sign" sqref="E159:E162 E76:E84 E99:E104 E117:E119 E121 E144:E145 E57:E61 E138:F142 E86">
      <formula1>-99999999</formula1>
      <formula2>99999999</formula2>
    </dataValidation>
    <dataValidation type="whole" allowBlank="1" showInputMessage="1" showErrorMessage="1" sqref="F184">
      <formula1>-99999999</formula1>
      <formula2>0</formula2>
    </dataValidation>
    <dataValidation type="whole" allowBlank="1" showInputMessage="1" showErrorMessage="1" error="wrong number format or sign" sqref="E178:E186">
      <formula1>0</formula1>
      <formula2>99999999</formula2>
    </dataValidation>
    <dataValidation type="whole" allowBlank="1" showInputMessage="1" showErrorMessage="1" error="Wrong number format or sign" sqref="E14:F15 E17:F21 E23:F29 E31:F40 E42 F42:F43">
      <formula1>0</formula1>
      <formula2>99999999</formula2>
    </dataValidation>
  </dataValidations>
  <printOptions horizontalCentered="1" headings="1" gridLines="1"/>
  <pageMargins left="0.23622047244094491" right="0.23622047244094491" top="0.18" bottom="0.19" header="0.17" footer="0.17"/>
  <pageSetup paperSize="9" scale="58" fitToHeight="4" orientation="landscape" cellComments="asDisplayed" r:id="rId1"/>
  <headerFooter scaleWithDoc="0" alignWithMargins="0"/>
  <rowBreaks count="2" manualBreakCount="2">
    <brk id="64" max="10" man="1"/>
    <brk id="132" max="10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O151"/>
  <sheetViews>
    <sheetView topLeftCell="B6" zoomScaleNormal="100" zoomScaleSheetLayoutView="100" workbookViewId="0">
      <selection activeCell="B6" sqref="B6"/>
    </sheetView>
  </sheetViews>
  <sheetFormatPr defaultColWidth="9.140625" defaultRowHeight="12.75"/>
  <cols>
    <col min="1" max="1" width="13.5703125" style="1156" hidden="1" customWidth="1"/>
    <col min="2" max="2" width="4.28515625" style="112" customWidth="1"/>
    <col min="3" max="3" width="85" style="112" customWidth="1"/>
    <col min="4" max="4" width="27" style="112" customWidth="1"/>
    <col min="5" max="5" width="13.7109375" style="112" customWidth="1"/>
    <col min="6" max="6" width="15.140625" style="112" customWidth="1"/>
    <col min="7" max="7" width="3.7109375" style="112" customWidth="1"/>
    <col min="8" max="8" width="8.7109375" style="112" customWidth="1"/>
    <col min="9" max="9" width="3.42578125" style="112" customWidth="1"/>
    <col min="10" max="16384" width="9.140625" style="112"/>
  </cols>
  <sheetData>
    <row r="1" spans="1:15" s="1097" customFormat="1" ht="18" hidden="1" customHeight="1">
      <c r="A1" s="1096" t="s">
        <v>1255</v>
      </c>
      <c r="B1" s="1118">
        <v>2</v>
      </c>
      <c r="C1" s="1118">
        <v>1</v>
      </c>
      <c r="D1" s="1119">
        <v>14</v>
      </c>
      <c r="E1" s="1182">
        <v>5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15" s="1097" customFormat="1" ht="18" hidden="1" customHeight="1">
      <c r="A2" s="1096" t="str">
        <f>Index!$A$2</f>
        <v>V20181222</v>
      </c>
      <c r="B2" s="1098"/>
      <c r="C2" s="1099"/>
      <c r="D2" s="1100"/>
      <c r="E2" s="1100" t="str">
        <f>$A$1&amp;"_"&amp;E13</f>
        <v>F-17.01_010</v>
      </c>
      <c r="F2" s="1100"/>
      <c r="G2" s="1100"/>
      <c r="H2" s="1100"/>
      <c r="I2" s="1100"/>
      <c r="J2" s="1100"/>
      <c r="K2" s="1100"/>
      <c r="L2" s="1100"/>
      <c r="M2" s="1100"/>
      <c r="N2" s="1101"/>
    </row>
    <row r="3" spans="1:15" s="1097" customFormat="1" ht="18" hidden="1" customHeight="1">
      <c r="A3" s="1096" t="str">
        <f>"R:A1:P"&amp;ROW(A123)+1</f>
        <v>R:A1:P124</v>
      </c>
      <c r="B3" s="1102"/>
      <c r="C3" s="1103"/>
      <c r="D3" s="1104"/>
      <c r="E3" s="1105"/>
      <c r="F3" s="1106"/>
      <c r="G3" s="1107"/>
      <c r="H3" s="1107"/>
      <c r="I3" s="1107"/>
      <c r="J3" s="1107"/>
      <c r="K3" s="1107"/>
    </row>
    <row r="4" spans="1:15" s="1097" customFormat="1" ht="18" hidden="1" customHeight="1">
      <c r="A4" s="1096"/>
      <c r="B4" s="1102"/>
      <c r="C4" s="1103"/>
      <c r="D4" s="1108"/>
      <c r="E4" s="1109"/>
      <c r="F4" s="1110"/>
      <c r="G4" s="1111">
        <f>N5</f>
        <v>0</v>
      </c>
      <c r="H4" s="1107"/>
      <c r="I4" s="1107"/>
      <c r="J4" s="1107"/>
      <c r="K4" s="1107"/>
    </row>
    <row r="5" spans="1:15" s="1097" customFormat="1" ht="18" hidden="1" customHeight="1">
      <c r="A5" s="1096"/>
      <c r="B5" s="1102"/>
      <c r="C5" s="1103"/>
      <c r="D5" s="1112"/>
      <c r="E5" s="1113"/>
      <c r="F5" s="1114"/>
      <c r="N5" s="1097">
        <f>COUNTIF(F10:G51,"&lt;&gt;0")-COUNTBLANK(F10:G51)</f>
        <v>0</v>
      </c>
    </row>
    <row r="6" spans="1:15" s="1116" customFormat="1">
      <c r="A6" s="1100" t="s">
        <v>718</v>
      </c>
      <c r="B6" s="1115"/>
    </row>
    <row r="7" spans="1:15">
      <c r="A7" s="1100" t="s">
        <v>718</v>
      </c>
      <c r="B7" s="272" t="s">
        <v>706</v>
      </c>
      <c r="D7" s="303"/>
      <c r="E7" s="304"/>
    </row>
    <row r="8" spans="1:15">
      <c r="A8" s="1100" t="s">
        <v>718</v>
      </c>
      <c r="D8" s="303"/>
      <c r="E8" s="304"/>
    </row>
    <row r="9" spans="1:15">
      <c r="A9" s="1100" t="s">
        <v>718</v>
      </c>
      <c r="B9" s="60" t="s">
        <v>715</v>
      </c>
      <c r="D9" s="587"/>
      <c r="E9" s="304"/>
    </row>
    <row r="10" spans="1:15">
      <c r="A10" s="1100" t="s">
        <v>718</v>
      </c>
      <c r="B10" s="305"/>
      <c r="D10" s="303"/>
      <c r="E10" s="304"/>
    </row>
    <row r="11" spans="1:15" ht="52.5">
      <c r="A11" s="1100" t="s">
        <v>718</v>
      </c>
      <c r="B11" s="555"/>
      <c r="C11" s="556"/>
      <c r="D11" s="1473" t="s">
        <v>551</v>
      </c>
      <c r="E11" s="613" t="s">
        <v>495</v>
      </c>
    </row>
    <row r="12" spans="1:15" ht="31.5">
      <c r="A12" s="1100"/>
      <c r="B12" s="1527"/>
      <c r="C12" s="1495"/>
      <c r="D12" s="445"/>
      <c r="E12" s="584" t="s">
        <v>1743</v>
      </c>
    </row>
    <row r="13" spans="1:15">
      <c r="A13" s="1100" t="s">
        <v>718</v>
      </c>
      <c r="B13" s="557"/>
      <c r="C13" s="558"/>
      <c r="D13" s="1475"/>
      <c r="E13" s="441" t="s">
        <v>292</v>
      </c>
    </row>
    <row r="14" spans="1:15">
      <c r="A14" s="1156" t="str">
        <f t="shared" ref="A14:A50" si="0">$A$1&amp;"_"&amp;B14</f>
        <v>F-17.01_010</v>
      </c>
      <c r="B14" s="559" t="s">
        <v>292</v>
      </c>
      <c r="C14" s="192" t="s">
        <v>693</v>
      </c>
      <c r="D14" s="16" t="s">
        <v>423</v>
      </c>
      <c r="E14" s="677">
        <f>SUM($E$15:$E$17)</f>
        <v>0</v>
      </c>
      <c r="F14" s="676"/>
    </row>
    <row r="15" spans="1:15">
      <c r="A15" s="1156" t="str">
        <f t="shared" si="0"/>
        <v>F-17.01_020</v>
      </c>
      <c r="B15" s="560" t="s">
        <v>293</v>
      </c>
      <c r="C15" s="122" t="s">
        <v>56</v>
      </c>
      <c r="D15" s="348" t="s">
        <v>589</v>
      </c>
      <c r="E15" s="923"/>
      <c r="F15" s="676"/>
    </row>
    <row r="16" spans="1:15">
      <c r="A16" s="1156" t="str">
        <f t="shared" si="0"/>
        <v>F-17.01_030</v>
      </c>
      <c r="B16" s="561" t="s">
        <v>294</v>
      </c>
      <c r="C16" s="232" t="s">
        <v>142</v>
      </c>
      <c r="D16" s="44" t="s">
        <v>590</v>
      </c>
      <c r="E16" s="966"/>
      <c r="F16" s="676"/>
    </row>
    <row r="17" spans="1:6">
      <c r="A17" s="1156" t="str">
        <f t="shared" si="0"/>
        <v>F-17.01_040</v>
      </c>
      <c r="B17" s="561" t="s">
        <v>295</v>
      </c>
      <c r="C17" s="232" t="s">
        <v>424</v>
      </c>
      <c r="D17" s="44" t="s">
        <v>591</v>
      </c>
      <c r="E17" s="966"/>
      <c r="F17" s="676"/>
    </row>
    <row r="18" spans="1:6" ht="21">
      <c r="A18" s="1156" t="str">
        <f t="shared" si="0"/>
        <v>F-17.01_050</v>
      </c>
      <c r="B18" s="431" t="s">
        <v>296</v>
      </c>
      <c r="C18" s="327" t="s">
        <v>58</v>
      </c>
      <c r="D18" s="44" t="s">
        <v>1745</v>
      </c>
      <c r="E18" s="678">
        <f>SUM($E$19:$E$22)</f>
        <v>0</v>
      </c>
      <c r="F18" s="676"/>
    </row>
    <row r="19" spans="1:6">
      <c r="A19" s="1156" t="str">
        <f t="shared" si="0"/>
        <v>F-17.01_060</v>
      </c>
      <c r="B19" s="560" t="s">
        <v>297</v>
      </c>
      <c r="C19" s="122" t="s">
        <v>121</v>
      </c>
      <c r="D19" s="14" t="s">
        <v>1746</v>
      </c>
      <c r="E19" s="923"/>
      <c r="F19" s="676"/>
    </row>
    <row r="20" spans="1:6">
      <c r="A20" s="1156" t="str">
        <f t="shared" si="0"/>
        <v>F-17.01_070</v>
      </c>
      <c r="B20" s="431" t="s">
        <v>298</v>
      </c>
      <c r="C20" s="328" t="s">
        <v>59</v>
      </c>
      <c r="D20" s="14" t="s">
        <v>60</v>
      </c>
      <c r="E20" s="923"/>
      <c r="F20" s="676"/>
    </row>
    <row r="21" spans="1:6">
      <c r="A21" s="1156" t="str">
        <f t="shared" si="0"/>
        <v>F-17.01_080</v>
      </c>
      <c r="B21" s="431" t="s">
        <v>299</v>
      </c>
      <c r="C21" s="328" t="s">
        <v>55</v>
      </c>
      <c r="D21" s="14" t="s">
        <v>595</v>
      </c>
      <c r="E21" s="923"/>
      <c r="F21" s="676"/>
    </row>
    <row r="22" spans="1:6">
      <c r="A22" s="1156" t="str">
        <f t="shared" si="0"/>
        <v>F-17.01_090</v>
      </c>
      <c r="B22" s="431" t="s">
        <v>300</v>
      </c>
      <c r="C22" s="328" t="s">
        <v>61</v>
      </c>
      <c r="D22" s="14" t="s">
        <v>1576</v>
      </c>
      <c r="E22" s="923"/>
      <c r="F22" s="676"/>
    </row>
    <row r="23" spans="1:6">
      <c r="A23" s="1156" t="str">
        <f t="shared" si="0"/>
        <v>F-17.01_096</v>
      </c>
      <c r="B23" s="1702" t="s">
        <v>1678</v>
      </c>
      <c r="C23" s="1506" t="s">
        <v>1679</v>
      </c>
      <c r="D23" s="14" t="s">
        <v>1744</v>
      </c>
      <c r="E23" s="678">
        <f>SUM($E$24:$E$26)</f>
        <v>0</v>
      </c>
      <c r="F23" s="1491"/>
    </row>
    <row r="24" spans="1:6">
      <c r="A24" s="1156" t="str">
        <f t="shared" si="0"/>
        <v>F-17.01_097</v>
      </c>
      <c r="B24" s="1702" t="s">
        <v>1680</v>
      </c>
      <c r="C24" s="1703" t="s">
        <v>59</v>
      </c>
      <c r="D24" s="14" t="s">
        <v>60</v>
      </c>
      <c r="E24" s="923"/>
      <c r="F24" s="1491"/>
    </row>
    <row r="25" spans="1:6">
      <c r="A25" s="1156" t="str">
        <f t="shared" si="0"/>
        <v>F-17.01_098</v>
      </c>
      <c r="B25" s="1702" t="s">
        <v>1681</v>
      </c>
      <c r="C25" s="1703" t="s">
        <v>55</v>
      </c>
      <c r="D25" s="14" t="s">
        <v>595</v>
      </c>
      <c r="E25" s="923"/>
      <c r="F25" s="1491"/>
    </row>
    <row r="26" spans="1:6">
      <c r="A26" s="1156" t="str">
        <f t="shared" si="0"/>
        <v>F-17.01_099</v>
      </c>
      <c r="B26" s="1702" t="s">
        <v>1682</v>
      </c>
      <c r="C26" s="1703" t="s">
        <v>61</v>
      </c>
      <c r="D26" s="14" t="s">
        <v>1576</v>
      </c>
      <c r="E26" s="923"/>
      <c r="F26" s="1491"/>
    </row>
    <row r="27" spans="1:6">
      <c r="A27" s="1156" t="str">
        <f t="shared" si="0"/>
        <v>F-17.01_100</v>
      </c>
      <c r="B27" s="560" t="s">
        <v>301</v>
      </c>
      <c r="C27" s="274" t="s">
        <v>62</v>
      </c>
      <c r="D27" s="14" t="s">
        <v>1580</v>
      </c>
      <c r="E27" s="678">
        <f>SUM($E$28:$E$29)</f>
        <v>0</v>
      </c>
      <c r="F27" s="676"/>
    </row>
    <row r="28" spans="1:6">
      <c r="A28" s="1156" t="str">
        <f t="shared" si="0"/>
        <v>F-17.01_120</v>
      </c>
      <c r="B28" s="561" t="s">
        <v>303</v>
      </c>
      <c r="C28" s="122" t="s">
        <v>55</v>
      </c>
      <c r="D28" s="14" t="s">
        <v>595</v>
      </c>
      <c r="E28" s="923"/>
      <c r="F28" s="676"/>
    </row>
    <row r="29" spans="1:6">
      <c r="A29" s="1156" t="str">
        <f t="shared" si="0"/>
        <v>F-17.01_130</v>
      </c>
      <c r="B29" s="560" t="s">
        <v>304</v>
      </c>
      <c r="C29" s="122" t="s">
        <v>61</v>
      </c>
      <c r="D29" s="14" t="s">
        <v>1576</v>
      </c>
      <c r="E29" s="923"/>
      <c r="F29" s="676"/>
    </row>
    <row r="30" spans="1:6">
      <c r="A30" s="1156" t="str">
        <f t="shared" si="0"/>
        <v>F-17.01_141</v>
      </c>
      <c r="B30" s="361">
        <v>141</v>
      </c>
      <c r="C30" s="1506" t="s">
        <v>1683</v>
      </c>
      <c r="D30" s="14" t="s">
        <v>1672</v>
      </c>
      <c r="E30" s="678">
        <f>SUM($E$31:$E$33)</f>
        <v>0</v>
      </c>
      <c r="F30" s="1491"/>
    </row>
    <row r="31" spans="1:6">
      <c r="A31" s="1156" t="str">
        <f t="shared" si="0"/>
        <v>F-17.01_142</v>
      </c>
      <c r="B31" s="361">
        <v>142</v>
      </c>
      <c r="C31" s="8" t="s">
        <v>59</v>
      </c>
      <c r="D31" s="14" t="s">
        <v>60</v>
      </c>
      <c r="E31" s="923"/>
      <c r="F31" s="1491"/>
    </row>
    <row r="32" spans="1:6">
      <c r="A32" s="1156" t="str">
        <f t="shared" si="0"/>
        <v>F-17.01_143</v>
      </c>
      <c r="B32" s="361">
        <v>143</v>
      </c>
      <c r="C32" s="8" t="s">
        <v>55</v>
      </c>
      <c r="D32" s="14" t="s">
        <v>595</v>
      </c>
      <c r="E32" s="923"/>
      <c r="F32" s="1491"/>
    </row>
    <row r="33" spans="1:6">
      <c r="A33" s="1156" t="str">
        <f t="shared" si="0"/>
        <v>F-17.01_144</v>
      </c>
      <c r="B33" s="361">
        <v>144</v>
      </c>
      <c r="C33" s="8" t="s">
        <v>61</v>
      </c>
      <c r="D33" s="14" t="s">
        <v>1576</v>
      </c>
      <c r="E33" s="923"/>
      <c r="F33" s="1491"/>
    </row>
    <row r="34" spans="1:6">
      <c r="A34" s="1156" t="str">
        <f t="shared" si="0"/>
        <v>F-17.01_181</v>
      </c>
      <c r="B34" s="361">
        <v>181</v>
      </c>
      <c r="C34" s="1506" t="s">
        <v>1572</v>
      </c>
      <c r="D34" s="14" t="s">
        <v>1573</v>
      </c>
      <c r="E34" s="678">
        <f>SUM($E$35:$E$36)</f>
        <v>0</v>
      </c>
      <c r="F34" s="1491"/>
    </row>
    <row r="35" spans="1:6">
      <c r="A35" s="1156" t="str">
        <f t="shared" si="0"/>
        <v>F-17.01_182</v>
      </c>
      <c r="B35" s="361">
        <v>182</v>
      </c>
      <c r="C35" s="8" t="s">
        <v>55</v>
      </c>
      <c r="D35" s="14" t="s">
        <v>595</v>
      </c>
      <c r="E35" s="923"/>
      <c r="F35" s="1491"/>
    </row>
    <row r="36" spans="1:6">
      <c r="A36" s="1156" t="str">
        <f t="shared" si="0"/>
        <v>F-17.01_183</v>
      </c>
      <c r="B36" s="361">
        <v>183</v>
      </c>
      <c r="C36" s="8" t="s">
        <v>61</v>
      </c>
      <c r="D36" s="14" t="s">
        <v>1576</v>
      </c>
      <c r="E36" s="923"/>
      <c r="F36" s="1491"/>
    </row>
    <row r="37" spans="1:6" ht="21">
      <c r="A37" s="1156" t="str">
        <f t="shared" si="0"/>
        <v>F-17.01_240</v>
      </c>
      <c r="B37" s="431" t="s">
        <v>315</v>
      </c>
      <c r="C37" s="327" t="s">
        <v>5</v>
      </c>
      <c r="D37" s="14" t="s">
        <v>1673</v>
      </c>
      <c r="E37" s="925"/>
      <c r="F37" s="676"/>
    </row>
    <row r="38" spans="1:6">
      <c r="A38" s="1156" t="str">
        <f t="shared" si="0"/>
        <v>F-17.01_250</v>
      </c>
      <c r="B38" s="431" t="s">
        <v>316</v>
      </c>
      <c r="C38" s="327" t="s">
        <v>112</v>
      </c>
      <c r="D38" s="17" t="s">
        <v>1674</v>
      </c>
      <c r="E38" s="925"/>
      <c r="F38" s="676"/>
    </row>
    <row r="39" spans="1:6" ht="21">
      <c r="A39" s="1156" t="str">
        <f t="shared" si="0"/>
        <v>F-17.01_260</v>
      </c>
      <c r="B39" s="562" t="s">
        <v>317</v>
      </c>
      <c r="C39" s="327" t="s">
        <v>376</v>
      </c>
      <c r="D39" s="52" t="s">
        <v>1747</v>
      </c>
      <c r="E39" s="925"/>
      <c r="F39" s="676"/>
    </row>
    <row r="40" spans="1:6" ht="21">
      <c r="A40" s="1156" t="str">
        <f t="shared" si="0"/>
        <v>F-17.01_270</v>
      </c>
      <c r="B40" s="562" t="s">
        <v>318</v>
      </c>
      <c r="C40" s="274" t="s">
        <v>425</v>
      </c>
      <c r="D40" s="115" t="s">
        <v>1748</v>
      </c>
      <c r="E40" s="965"/>
      <c r="F40" s="676"/>
    </row>
    <row r="41" spans="1:6">
      <c r="A41" s="1156" t="str">
        <f t="shared" si="0"/>
        <v>F-17.01_280</v>
      </c>
      <c r="B41" s="414" t="s">
        <v>319</v>
      </c>
      <c r="C41" s="327" t="s">
        <v>64</v>
      </c>
      <c r="D41" s="326"/>
      <c r="E41" s="925"/>
      <c r="F41" s="676"/>
    </row>
    <row r="42" spans="1:6" ht="21">
      <c r="A42" s="1156" t="str">
        <f t="shared" si="0"/>
        <v>F-17.01_290</v>
      </c>
      <c r="B42" s="431" t="s">
        <v>320</v>
      </c>
      <c r="C42" s="327" t="s">
        <v>67</v>
      </c>
      <c r="D42" s="17" t="s">
        <v>681</v>
      </c>
      <c r="E42" s="679">
        <f>SUM($E$43:$E$44)</f>
        <v>0</v>
      </c>
      <c r="F42" s="676"/>
    </row>
    <row r="43" spans="1:6" ht="21">
      <c r="A43" s="1156" t="str">
        <f t="shared" si="0"/>
        <v>F-17.01_300</v>
      </c>
      <c r="B43" s="560" t="s">
        <v>321</v>
      </c>
      <c r="C43" s="328" t="s">
        <v>68</v>
      </c>
      <c r="D43" s="17" t="s">
        <v>682</v>
      </c>
      <c r="E43" s="931"/>
      <c r="F43" s="676"/>
    </row>
    <row r="44" spans="1:6">
      <c r="A44" s="1156" t="str">
        <f t="shared" si="0"/>
        <v>F-17.01_310</v>
      </c>
      <c r="B44" s="431" t="s">
        <v>322</v>
      </c>
      <c r="C44" s="328" t="s">
        <v>69</v>
      </c>
      <c r="D44" s="17" t="s">
        <v>34</v>
      </c>
      <c r="E44" s="931"/>
      <c r="F44" s="676"/>
    </row>
    <row r="45" spans="1:6">
      <c r="A45" s="1156" t="str">
        <f t="shared" si="0"/>
        <v>F-17.01_320</v>
      </c>
      <c r="B45" s="431">
        <v>320</v>
      </c>
      <c r="C45" s="327" t="s">
        <v>71</v>
      </c>
      <c r="D45" s="17" t="s">
        <v>507</v>
      </c>
      <c r="E45" s="679">
        <f>SUM($E$46:$E$47)</f>
        <v>0</v>
      </c>
      <c r="F45" s="676"/>
    </row>
    <row r="46" spans="1:6">
      <c r="A46" s="1156" t="str">
        <f t="shared" si="0"/>
        <v>F-17.01_330</v>
      </c>
      <c r="B46" s="481">
        <v>330</v>
      </c>
      <c r="C46" s="328" t="s">
        <v>72</v>
      </c>
      <c r="D46" s="17" t="s">
        <v>508</v>
      </c>
      <c r="E46" s="931"/>
      <c r="F46" s="676"/>
    </row>
    <row r="47" spans="1:6" ht="21">
      <c r="A47" s="1156" t="str">
        <f t="shared" si="0"/>
        <v>F-17.01_340</v>
      </c>
      <c r="B47" s="481">
        <v>340</v>
      </c>
      <c r="C47" s="328" t="s">
        <v>73</v>
      </c>
      <c r="D47" s="17" t="s">
        <v>686</v>
      </c>
      <c r="E47" s="931"/>
      <c r="F47" s="676"/>
    </row>
    <row r="48" spans="1:6">
      <c r="A48" s="1156" t="str">
        <f t="shared" si="0"/>
        <v>F-17.01_350</v>
      </c>
      <c r="B48" s="561">
        <v>350</v>
      </c>
      <c r="C48" s="327" t="s">
        <v>74</v>
      </c>
      <c r="D48" s="17" t="s">
        <v>593</v>
      </c>
      <c r="E48" s="933"/>
      <c r="F48" s="676"/>
    </row>
    <row r="49" spans="1:15" ht="21">
      <c r="A49" s="1156" t="str">
        <f t="shared" si="0"/>
        <v>F-17.01_360</v>
      </c>
      <c r="B49" s="431">
        <v>360</v>
      </c>
      <c r="C49" s="327" t="s">
        <v>75</v>
      </c>
      <c r="D49" s="17" t="s">
        <v>594</v>
      </c>
      <c r="E49" s="933"/>
      <c r="F49" s="676"/>
    </row>
    <row r="50" spans="1:15">
      <c r="A50" s="1156" t="str">
        <f t="shared" si="0"/>
        <v>F-17.01_370</v>
      </c>
      <c r="B50" s="432">
        <v>370</v>
      </c>
      <c r="C50" s="329" t="s">
        <v>415</v>
      </c>
      <c r="D50" s="18" t="s">
        <v>541</v>
      </c>
      <c r="E50" s="680">
        <f>SUM($E$14+$E$18+$E$23+$E$27+$E$30+$E$34+$E$37+$E$38+$E$39+$E$40+$E$41+$E$42+$E$45+$E$48+$E$49)</f>
        <v>0</v>
      </c>
      <c r="F50" s="676"/>
    </row>
    <row r="51" spans="1:15">
      <c r="A51" s="1100" t="s">
        <v>718</v>
      </c>
      <c r="B51" s="305"/>
      <c r="D51" s="303"/>
      <c r="E51" s="304"/>
      <c r="F51" s="671"/>
    </row>
    <row r="52" spans="1:15">
      <c r="A52" s="1156" t="s">
        <v>724</v>
      </c>
      <c r="B52" s="305"/>
      <c r="D52" s="303"/>
      <c r="E52" s="304"/>
      <c r="F52" s="671"/>
    </row>
    <row r="53" spans="1:15" s="1097" customFormat="1" ht="18" hidden="1" customHeight="1">
      <c r="A53" s="1096" t="s">
        <v>1256</v>
      </c>
      <c r="B53" s="1118">
        <v>2</v>
      </c>
      <c r="C53" s="1118">
        <v>1</v>
      </c>
      <c r="D53" s="1119">
        <v>11</v>
      </c>
      <c r="E53" s="1182">
        <v>5</v>
      </c>
      <c r="F53" s="1120">
        <v>3</v>
      </c>
      <c r="G53" s="1121">
        <v>4</v>
      </c>
      <c r="H53" s="1122">
        <v>4</v>
      </c>
      <c r="I53" s="1122">
        <v>4</v>
      </c>
      <c r="J53" s="1123">
        <v>4</v>
      </c>
      <c r="K53" s="1123">
        <v>5</v>
      </c>
      <c r="L53" s="1124">
        <v>4</v>
      </c>
      <c r="M53" s="1124">
        <v>6</v>
      </c>
      <c r="N53" s="1125">
        <v>4</v>
      </c>
      <c r="O53" s="1125">
        <v>7</v>
      </c>
    </row>
    <row r="54" spans="1:15" s="1097" customFormat="1" ht="18" hidden="1" customHeight="1">
      <c r="A54" s="1096" t="str">
        <f>Index!$A$2</f>
        <v>V20181222</v>
      </c>
      <c r="B54" s="1098"/>
      <c r="C54" s="1099"/>
      <c r="D54" s="1100"/>
      <c r="E54" s="1100" t="str">
        <f>$A$53&amp;"_"&amp;E63</f>
        <v>F-17.02_010</v>
      </c>
      <c r="F54" s="1100"/>
      <c r="G54" s="1100"/>
      <c r="H54" s="1100"/>
      <c r="I54" s="1100"/>
      <c r="J54" s="1100"/>
      <c r="K54" s="1100"/>
      <c r="L54" s="1100"/>
      <c r="M54" s="1100"/>
      <c r="N54" s="1101"/>
    </row>
    <row r="55" spans="1:15" s="1097" customFormat="1" ht="18" hidden="1" customHeight="1">
      <c r="A55" s="1096" t="str">
        <f>"R:A1:P"&amp;ROW(A220)+1</f>
        <v>R:A1:P221</v>
      </c>
      <c r="B55" s="1102"/>
      <c r="C55" s="1103"/>
      <c r="D55" s="1104"/>
      <c r="E55" s="1105"/>
      <c r="F55" s="1106"/>
      <c r="G55" s="1107"/>
      <c r="H55" s="1107"/>
      <c r="I55" s="1107"/>
      <c r="J55" s="1107"/>
      <c r="K55" s="1107"/>
    </row>
    <row r="56" spans="1:15" s="1097" customFormat="1" ht="18" hidden="1" customHeight="1">
      <c r="A56" s="1096"/>
      <c r="B56" s="1102"/>
      <c r="C56" s="1103"/>
      <c r="D56" s="1108"/>
      <c r="E56" s="1109"/>
      <c r="F56" s="1110"/>
      <c r="G56" s="1111">
        <f>N57</f>
        <v>0</v>
      </c>
      <c r="H56" s="1107"/>
      <c r="I56" s="1107"/>
      <c r="J56" s="1107"/>
      <c r="K56" s="1107"/>
    </row>
    <row r="57" spans="1:15" s="1097" customFormat="1" ht="18" hidden="1" customHeight="1">
      <c r="A57" s="1096"/>
      <c r="B57" s="1102"/>
      <c r="C57" s="1103"/>
      <c r="D57" s="1112"/>
      <c r="E57" s="1113"/>
      <c r="F57" s="1114"/>
      <c r="N57" s="1097">
        <f>COUNTIF(F64:G68,"&lt;&gt;0")-COUNTBLANK(F64:G68)</f>
        <v>0</v>
      </c>
    </row>
    <row r="58" spans="1:15" s="1116" customFormat="1">
      <c r="A58" s="1100" t="s">
        <v>718</v>
      </c>
      <c r="B58" s="1115"/>
    </row>
    <row r="59" spans="1:15">
      <c r="A59" s="1100" t="s">
        <v>718</v>
      </c>
      <c r="B59" s="60" t="s">
        <v>578</v>
      </c>
      <c r="C59" s="306"/>
      <c r="D59" s="307"/>
      <c r="E59" s="62"/>
    </row>
    <row r="60" spans="1:15">
      <c r="A60" s="1100" t="s">
        <v>718</v>
      </c>
      <c r="B60" s="62"/>
      <c r="C60" s="63"/>
      <c r="D60" s="308"/>
      <c r="E60" s="62"/>
    </row>
    <row r="61" spans="1:15" ht="52.5">
      <c r="A61" s="1100" t="s">
        <v>718</v>
      </c>
      <c r="B61" s="555"/>
      <c r="C61" s="556"/>
      <c r="D61" s="380" t="s">
        <v>551</v>
      </c>
      <c r="E61" s="613" t="s">
        <v>496</v>
      </c>
    </row>
    <row r="62" spans="1:15" ht="21">
      <c r="A62" s="1100"/>
      <c r="B62" s="1527"/>
      <c r="C62" s="1495"/>
      <c r="D62" s="1493"/>
      <c r="E62" s="584" t="s">
        <v>1749</v>
      </c>
    </row>
    <row r="63" spans="1:15">
      <c r="A63" s="1100" t="s">
        <v>718</v>
      </c>
      <c r="B63" s="557"/>
      <c r="C63" s="558"/>
      <c r="D63" s="384"/>
      <c r="E63" s="441" t="s">
        <v>292</v>
      </c>
    </row>
    <row r="64" spans="1:15" ht="31.5">
      <c r="A64" s="1156" t="str">
        <f>$A$53&amp;"_"&amp;B64</f>
        <v>F-17.02_010</v>
      </c>
      <c r="B64" s="430" t="s">
        <v>292</v>
      </c>
      <c r="C64" s="323" t="s">
        <v>133</v>
      </c>
      <c r="D64" s="612" t="s">
        <v>1729</v>
      </c>
      <c r="E64" s="902"/>
      <c r="F64" s="676">
        <f>IF($E$64&gt;=0,0,"(F17.2&gt;=0)")</f>
        <v>0</v>
      </c>
    </row>
    <row r="65" spans="1:15" ht="31.5">
      <c r="A65" s="1156" t="str">
        <f>$A$53&amp;"_"&amp;B65</f>
        <v>F-17.02_020</v>
      </c>
      <c r="B65" s="562" t="s">
        <v>293</v>
      </c>
      <c r="C65" s="327" t="s">
        <v>134</v>
      </c>
      <c r="D65" s="115" t="s">
        <v>1730</v>
      </c>
      <c r="E65" s="1166"/>
      <c r="F65" s="676">
        <f>IF($E$65&gt;=0,0,"(F17.2&gt;=0)")</f>
        <v>0</v>
      </c>
    </row>
    <row r="66" spans="1:15" ht="31.5">
      <c r="A66" s="1156" t="str">
        <f>$A$53&amp;"_"&amp;B66</f>
        <v>F-17.02_030</v>
      </c>
      <c r="B66" s="497" t="s">
        <v>294</v>
      </c>
      <c r="C66" s="330" t="s">
        <v>135</v>
      </c>
      <c r="D66" s="117" t="s">
        <v>1731</v>
      </c>
      <c r="E66" s="1167"/>
      <c r="F66" s="676">
        <f>IF($E$66&gt;=0,0,"(F17.2&gt;=0)")</f>
        <v>0</v>
      </c>
    </row>
    <row r="67" spans="1:15">
      <c r="A67" s="1156" t="str">
        <f>$A$53&amp;"_"&amp;B67</f>
        <v>F-17.02_040</v>
      </c>
      <c r="B67" s="503" t="s">
        <v>295</v>
      </c>
      <c r="C67" s="329" t="s">
        <v>426</v>
      </c>
      <c r="D67" s="325"/>
      <c r="E67" s="680">
        <f>SUM($E$64:$E$66)</f>
        <v>0</v>
      </c>
      <c r="F67" s="676">
        <f>IF($E$67&gt;=0,0,"(F17.2&gt;=0)")</f>
        <v>0</v>
      </c>
    </row>
    <row r="68" spans="1:15">
      <c r="A68" s="1100" t="s">
        <v>718</v>
      </c>
      <c r="B68" s="279"/>
      <c r="C68" s="309"/>
      <c r="D68" s="310"/>
      <c r="E68" s="310"/>
    </row>
    <row r="69" spans="1:15">
      <c r="A69" s="1156" t="s">
        <v>724</v>
      </c>
      <c r="B69" s="1115"/>
      <c r="D69" s="303"/>
      <c r="E69" s="304"/>
    </row>
    <row r="70" spans="1:15" s="1097" customFormat="1" ht="18" hidden="1" customHeight="1">
      <c r="A70" s="1096" t="s">
        <v>1257</v>
      </c>
      <c r="B70" s="1118">
        <v>2</v>
      </c>
      <c r="C70" s="1118">
        <v>1</v>
      </c>
      <c r="D70" s="1119">
        <v>11</v>
      </c>
      <c r="E70" s="1182">
        <v>5</v>
      </c>
      <c r="F70" s="1120">
        <v>3</v>
      </c>
      <c r="G70" s="1121">
        <v>4</v>
      </c>
      <c r="H70" s="1122">
        <v>4</v>
      </c>
      <c r="I70" s="1122">
        <v>4</v>
      </c>
      <c r="J70" s="1123">
        <v>4</v>
      </c>
      <c r="K70" s="1123">
        <v>5</v>
      </c>
      <c r="L70" s="1124">
        <v>4</v>
      </c>
      <c r="M70" s="1124">
        <v>6</v>
      </c>
      <c r="N70" s="1125">
        <v>4</v>
      </c>
      <c r="O70" s="1125">
        <v>7</v>
      </c>
    </row>
    <row r="71" spans="1:15" s="1097" customFormat="1" ht="18" hidden="1" customHeight="1">
      <c r="A71" s="1096" t="str">
        <f>Index!$A$2</f>
        <v>V20181222</v>
      </c>
      <c r="B71" s="1098"/>
      <c r="C71" s="1099"/>
      <c r="D71" s="1100"/>
      <c r="E71" s="1100" t="str">
        <f>$A$70&amp;"_"&amp;E80</f>
        <v>F-17.03_010</v>
      </c>
      <c r="F71" s="1100"/>
      <c r="G71" s="1100"/>
      <c r="H71" s="1100"/>
      <c r="I71" s="1100"/>
      <c r="J71" s="1100"/>
      <c r="K71" s="1100"/>
      <c r="L71" s="1100"/>
      <c r="M71" s="1100"/>
      <c r="N71" s="1101"/>
    </row>
    <row r="72" spans="1:15" s="1097" customFormat="1" ht="18" hidden="1" customHeight="1">
      <c r="A72" s="1096" t="str">
        <f>"R:A1:P"&amp;ROW(A236)+1</f>
        <v>R:A1:P237</v>
      </c>
      <c r="B72" s="1102"/>
      <c r="C72" s="1103"/>
      <c r="D72" s="1104"/>
      <c r="E72" s="1105"/>
      <c r="F72" s="1106"/>
      <c r="G72" s="1107"/>
      <c r="H72" s="1107"/>
      <c r="I72" s="1107"/>
      <c r="J72" s="1107"/>
      <c r="K72" s="1107"/>
    </row>
    <row r="73" spans="1:15" s="1097" customFormat="1" ht="18" hidden="1" customHeight="1">
      <c r="A73" s="1096"/>
      <c r="B73" s="1102"/>
      <c r="C73" s="1103"/>
      <c r="D73" s="1108"/>
      <c r="E73" s="1109"/>
      <c r="F73" s="1110"/>
      <c r="G73" s="1111">
        <f>N74</f>
        <v>0</v>
      </c>
      <c r="H73" s="1107"/>
      <c r="I73" s="1107"/>
      <c r="J73" s="1107"/>
      <c r="K73" s="1107"/>
    </row>
    <row r="74" spans="1:15" s="1097" customFormat="1" ht="18" hidden="1" customHeight="1">
      <c r="A74" s="1096"/>
      <c r="B74" s="1102"/>
      <c r="C74" s="1103"/>
      <c r="D74" s="1112"/>
      <c r="E74" s="1113"/>
      <c r="F74" s="1114"/>
      <c r="N74" s="1097">
        <f>COUNTIF(F81:G120,"&lt;&gt;0")-COUNTBLANK(F81:G120)</f>
        <v>0</v>
      </c>
    </row>
    <row r="75" spans="1:15" s="1116" customFormat="1">
      <c r="A75" s="1100" t="s">
        <v>718</v>
      </c>
      <c r="B75" s="1115"/>
    </row>
    <row r="76" spans="1:15">
      <c r="A76" s="1100" t="s">
        <v>718</v>
      </c>
      <c r="B76" s="60" t="s">
        <v>579</v>
      </c>
      <c r="E76" s="311"/>
    </row>
    <row r="77" spans="1:15">
      <c r="A77" s="1100" t="s">
        <v>718</v>
      </c>
      <c r="B77" s="305"/>
      <c r="C77" s="60"/>
      <c r="E77" s="311"/>
    </row>
    <row r="78" spans="1:15" ht="52.5">
      <c r="A78" s="1100" t="s">
        <v>718</v>
      </c>
      <c r="B78" s="555"/>
      <c r="C78" s="556"/>
      <c r="D78" s="1492" t="s">
        <v>551</v>
      </c>
      <c r="E78" s="613" t="s">
        <v>495</v>
      </c>
    </row>
    <row r="79" spans="1:15" ht="31.5">
      <c r="A79" s="1100"/>
      <c r="B79" s="1527"/>
      <c r="C79" s="1495"/>
      <c r="D79" s="1493"/>
      <c r="E79" s="584" t="s">
        <v>1743</v>
      </c>
    </row>
    <row r="80" spans="1:15">
      <c r="A80" s="1100" t="s">
        <v>718</v>
      </c>
      <c r="B80" s="557"/>
      <c r="C80" s="558"/>
      <c r="D80" s="1494"/>
      <c r="E80" s="441" t="s">
        <v>292</v>
      </c>
    </row>
    <row r="81" spans="1:6">
      <c r="A81" s="1156" t="str">
        <f>$A$70&amp;"_"&amp;B81</f>
        <v>F-17.03_010</v>
      </c>
      <c r="B81" s="559" t="s">
        <v>292</v>
      </c>
      <c r="C81" s="323" t="s">
        <v>76</v>
      </c>
      <c r="D81" s="348" t="s">
        <v>1684</v>
      </c>
      <c r="E81" s="978">
        <f>SUM($E$82:$E$86)</f>
        <v>0</v>
      </c>
      <c r="F81" s="676"/>
    </row>
    <row r="82" spans="1:6" ht="21">
      <c r="A82" s="1156" t="str">
        <f t="shared" ref="A82:A119" si="1">$A$70&amp;"_"&amp;B82</f>
        <v>F-17.03_020</v>
      </c>
      <c r="B82" s="560" t="s">
        <v>293</v>
      </c>
      <c r="C82" s="122" t="s">
        <v>121</v>
      </c>
      <c r="D82" s="14" t="s">
        <v>1685</v>
      </c>
      <c r="E82" s="979"/>
      <c r="F82" s="676"/>
    </row>
    <row r="83" spans="1:6">
      <c r="A83" s="1156" t="str">
        <f t="shared" si="1"/>
        <v>F-17.03_030</v>
      </c>
      <c r="B83" s="560" t="s">
        <v>294</v>
      </c>
      <c r="C83" s="122" t="s">
        <v>77</v>
      </c>
      <c r="D83" s="14" t="s">
        <v>1686</v>
      </c>
      <c r="E83" s="979"/>
      <c r="F83" s="676"/>
    </row>
    <row r="84" spans="1:6" ht="21">
      <c r="A84" s="1156" t="str">
        <f t="shared" si="1"/>
        <v>F-17.03_040</v>
      </c>
      <c r="B84" s="561" t="s">
        <v>295</v>
      </c>
      <c r="C84" s="122" t="s">
        <v>15</v>
      </c>
      <c r="D84" s="14" t="s">
        <v>1568</v>
      </c>
      <c r="E84" s="979"/>
      <c r="F84" s="676"/>
    </row>
    <row r="85" spans="1:6">
      <c r="A85" s="1156" t="str">
        <f t="shared" si="1"/>
        <v>F-17.03_050</v>
      </c>
      <c r="B85" s="431" t="s">
        <v>296</v>
      </c>
      <c r="C85" s="122" t="s">
        <v>32</v>
      </c>
      <c r="D85" s="44" t="s">
        <v>1569</v>
      </c>
      <c r="E85" s="979"/>
      <c r="F85" s="676"/>
    </row>
    <row r="86" spans="1:6">
      <c r="A86" s="1156" t="str">
        <f t="shared" si="1"/>
        <v>F-17.03_060</v>
      </c>
      <c r="B86" s="560" t="s">
        <v>297</v>
      </c>
      <c r="C86" s="122" t="s">
        <v>48</v>
      </c>
      <c r="D86" s="44" t="s">
        <v>1570</v>
      </c>
      <c r="E86" s="979"/>
      <c r="F86" s="676"/>
    </row>
    <row r="87" spans="1:6">
      <c r="A87" s="1156" t="str">
        <f t="shared" si="1"/>
        <v>F-17.03_070</v>
      </c>
      <c r="B87" s="560" t="s">
        <v>298</v>
      </c>
      <c r="C87" s="327" t="s">
        <v>113</v>
      </c>
      <c r="D87" s="14" t="s">
        <v>1587</v>
      </c>
      <c r="E87" s="980">
        <f>SUM($E$88:$E$90)</f>
        <v>0</v>
      </c>
      <c r="F87" s="676"/>
    </row>
    <row r="88" spans="1:6" ht="21">
      <c r="A88" s="1156" t="str">
        <f t="shared" si="1"/>
        <v>F-17.03_080</v>
      </c>
      <c r="B88" s="560" t="s">
        <v>299</v>
      </c>
      <c r="C88" s="122" t="s">
        <v>15</v>
      </c>
      <c r="D88" s="14" t="s">
        <v>1568</v>
      </c>
      <c r="E88" s="979"/>
      <c r="F88" s="676"/>
    </row>
    <row r="89" spans="1:6">
      <c r="A89" s="1156" t="str">
        <f t="shared" si="1"/>
        <v>F-17.03_090</v>
      </c>
      <c r="B89" s="561" t="s">
        <v>300</v>
      </c>
      <c r="C89" s="122" t="s">
        <v>32</v>
      </c>
      <c r="D89" s="44" t="s">
        <v>1569</v>
      </c>
      <c r="E89" s="979"/>
      <c r="F89" s="676"/>
    </row>
    <row r="90" spans="1:6">
      <c r="A90" s="1156" t="str">
        <f t="shared" si="1"/>
        <v>F-17.03_100</v>
      </c>
      <c r="B90" s="431" t="s">
        <v>301</v>
      </c>
      <c r="C90" s="122" t="s">
        <v>48</v>
      </c>
      <c r="D90" s="44" t="s">
        <v>1570</v>
      </c>
      <c r="E90" s="979"/>
      <c r="F90" s="676"/>
    </row>
    <row r="91" spans="1:6">
      <c r="A91" s="1156" t="str">
        <f t="shared" si="1"/>
        <v>F-17.03_110</v>
      </c>
      <c r="B91" s="560" t="s">
        <v>302</v>
      </c>
      <c r="C91" s="327" t="s">
        <v>4</v>
      </c>
      <c r="D91" s="14" t="s">
        <v>1567</v>
      </c>
      <c r="E91" s="980">
        <f>SUM($E$92:$E$94)</f>
        <v>0</v>
      </c>
      <c r="F91" s="676"/>
    </row>
    <row r="92" spans="1:6" ht="21">
      <c r="A92" s="1156" t="str">
        <f t="shared" si="1"/>
        <v>F-17.03_120</v>
      </c>
      <c r="B92" s="560" t="s">
        <v>303</v>
      </c>
      <c r="C92" s="122" t="s">
        <v>15</v>
      </c>
      <c r="D92" s="14" t="s">
        <v>1568</v>
      </c>
      <c r="E92" s="979"/>
      <c r="F92" s="676"/>
    </row>
    <row r="93" spans="1:6">
      <c r="A93" s="1156" t="str">
        <f t="shared" si="1"/>
        <v>F-17.03_130</v>
      </c>
      <c r="B93" s="560" t="s">
        <v>304</v>
      </c>
      <c r="C93" s="122" t="s">
        <v>32</v>
      </c>
      <c r="D93" s="44" t="s">
        <v>1569</v>
      </c>
      <c r="E93" s="979"/>
      <c r="F93" s="676"/>
    </row>
    <row r="94" spans="1:6">
      <c r="A94" s="1156" t="str">
        <f t="shared" si="1"/>
        <v>F-17.03_140</v>
      </c>
      <c r="B94" s="561" t="s">
        <v>305</v>
      </c>
      <c r="C94" s="122" t="s">
        <v>48</v>
      </c>
      <c r="D94" s="44" t="s">
        <v>1570</v>
      </c>
      <c r="E94" s="979"/>
      <c r="F94" s="676"/>
    </row>
    <row r="95" spans="1:6" ht="21">
      <c r="A95" s="1156" t="str">
        <f t="shared" si="1"/>
        <v>F-17.03_150</v>
      </c>
      <c r="B95" s="431" t="s">
        <v>306</v>
      </c>
      <c r="C95" s="327" t="s">
        <v>5</v>
      </c>
      <c r="D95" s="14" t="s">
        <v>1687</v>
      </c>
      <c r="E95" s="985"/>
      <c r="F95" s="676"/>
    </row>
    <row r="96" spans="1:6">
      <c r="A96" s="1156" t="str">
        <f t="shared" si="1"/>
        <v>F-17.03_160</v>
      </c>
      <c r="B96" s="560" t="s">
        <v>307</v>
      </c>
      <c r="C96" s="327" t="s">
        <v>112</v>
      </c>
      <c r="D96" s="14" t="s">
        <v>1688</v>
      </c>
      <c r="E96" s="985"/>
      <c r="F96" s="676"/>
    </row>
    <row r="97" spans="1:6" ht="21">
      <c r="A97" s="1156" t="str">
        <f t="shared" si="1"/>
        <v>F-17.03_170</v>
      </c>
      <c r="B97" s="431">
        <v>170</v>
      </c>
      <c r="C97" s="274" t="s">
        <v>427</v>
      </c>
      <c r="D97" s="115" t="s">
        <v>1750</v>
      </c>
      <c r="E97" s="985"/>
      <c r="F97" s="676"/>
    </row>
    <row r="98" spans="1:6">
      <c r="A98" s="1156" t="str">
        <f t="shared" si="1"/>
        <v>F-17.03_180</v>
      </c>
      <c r="B98" s="560">
        <v>180</v>
      </c>
      <c r="C98" s="327" t="s">
        <v>6</v>
      </c>
      <c r="D98" s="14" t="s">
        <v>505</v>
      </c>
      <c r="E98" s="985"/>
      <c r="F98" s="676"/>
    </row>
    <row r="99" spans="1:6">
      <c r="A99" s="1156" t="str">
        <f t="shared" si="1"/>
        <v>F-17.03_190</v>
      </c>
      <c r="B99" s="561">
        <v>190</v>
      </c>
      <c r="C99" s="327" t="s">
        <v>10</v>
      </c>
      <c r="D99" s="14" t="s">
        <v>507</v>
      </c>
      <c r="E99" s="980">
        <f>SUM($E$100:$E$101)</f>
        <v>0</v>
      </c>
      <c r="F99" s="676"/>
    </row>
    <row r="100" spans="1:6">
      <c r="A100" s="1156" t="str">
        <f t="shared" si="1"/>
        <v>F-17.03_200</v>
      </c>
      <c r="B100" s="561">
        <v>200</v>
      </c>
      <c r="C100" s="122" t="s">
        <v>11</v>
      </c>
      <c r="D100" s="14" t="s">
        <v>508</v>
      </c>
      <c r="E100" s="979"/>
      <c r="F100" s="676"/>
    </row>
    <row r="101" spans="1:6" ht="21">
      <c r="A101" s="1156" t="str">
        <f t="shared" si="1"/>
        <v>F-17.03_210</v>
      </c>
      <c r="B101" s="561">
        <v>210</v>
      </c>
      <c r="C101" s="232" t="s">
        <v>12</v>
      </c>
      <c r="D101" s="14" t="s">
        <v>680</v>
      </c>
      <c r="E101" s="979"/>
      <c r="F101" s="676"/>
    </row>
    <row r="102" spans="1:6" ht="21">
      <c r="A102" s="1156" t="str">
        <f t="shared" si="1"/>
        <v>F-17.03_220</v>
      </c>
      <c r="B102" s="560">
        <v>220</v>
      </c>
      <c r="C102" s="327" t="s">
        <v>114</v>
      </c>
      <c r="D102" s="14" t="s">
        <v>1689</v>
      </c>
      <c r="E102" s="981"/>
      <c r="F102" s="676"/>
    </row>
    <row r="103" spans="1:6">
      <c r="A103" s="1156" t="str">
        <f t="shared" si="1"/>
        <v>F-17.03_230</v>
      </c>
      <c r="B103" s="560">
        <v>230</v>
      </c>
      <c r="C103" s="331" t="s">
        <v>13</v>
      </c>
      <c r="D103" s="14" t="s">
        <v>1690</v>
      </c>
      <c r="E103" s="982"/>
      <c r="F103" s="676"/>
    </row>
    <row r="104" spans="1:6" ht="21">
      <c r="A104" s="1156" t="str">
        <f t="shared" si="1"/>
        <v>F-17.03_240</v>
      </c>
      <c r="B104" s="561">
        <v>240</v>
      </c>
      <c r="C104" s="332" t="s">
        <v>14</v>
      </c>
      <c r="D104" s="43" t="s">
        <v>1691</v>
      </c>
      <c r="E104" s="983"/>
      <c r="F104" s="676"/>
    </row>
    <row r="105" spans="1:6">
      <c r="A105" s="1156" t="str">
        <f t="shared" si="1"/>
        <v>F-17.03_250</v>
      </c>
      <c r="B105" s="432">
        <v>250</v>
      </c>
      <c r="C105" s="333" t="s">
        <v>172</v>
      </c>
      <c r="D105" s="18" t="s">
        <v>49</v>
      </c>
      <c r="E105" s="977">
        <f>SUM($E$81+$E$87+$E$91+$E$95+$E$96+$E$97+$E$98+$E$99+$E$102+$E$103+$E$104)</f>
        <v>0</v>
      </c>
      <c r="F105" s="676"/>
    </row>
    <row r="106" spans="1:6">
      <c r="A106" s="1156" t="str">
        <f t="shared" si="1"/>
        <v>F-17.03_260</v>
      </c>
      <c r="B106" s="412">
        <v>260</v>
      </c>
      <c r="C106" s="323" t="s">
        <v>209</v>
      </c>
      <c r="D106" s="334" t="s">
        <v>509</v>
      </c>
      <c r="E106" s="984"/>
      <c r="F106" s="676"/>
    </row>
    <row r="107" spans="1:6" ht="21">
      <c r="A107" s="1156" t="str">
        <f t="shared" si="1"/>
        <v>F-17.03_270</v>
      </c>
      <c r="B107" s="415">
        <v>270</v>
      </c>
      <c r="C107" s="327" t="s">
        <v>38</v>
      </c>
      <c r="D107" s="115" t="s">
        <v>683</v>
      </c>
      <c r="E107" s="985"/>
      <c r="F107" s="676"/>
    </row>
    <row r="108" spans="1:6">
      <c r="A108" s="1156" t="str">
        <f t="shared" si="1"/>
        <v>F-17.03_280</v>
      </c>
      <c r="B108" s="415">
        <v>280</v>
      </c>
      <c r="C108" s="327" t="s">
        <v>430</v>
      </c>
      <c r="D108" s="14" t="s">
        <v>1751</v>
      </c>
      <c r="E108" s="985"/>
      <c r="F108" s="676"/>
    </row>
    <row r="109" spans="1:6">
      <c r="A109" s="1156" t="str">
        <f t="shared" si="1"/>
        <v>F-17.03_290</v>
      </c>
      <c r="B109" s="562">
        <v>290</v>
      </c>
      <c r="C109" s="327" t="s">
        <v>428</v>
      </c>
      <c r="D109" s="14" t="s">
        <v>1752</v>
      </c>
      <c r="E109" s="985"/>
      <c r="F109" s="676"/>
    </row>
    <row r="110" spans="1:6">
      <c r="A110" s="1156" t="str">
        <f t="shared" si="1"/>
        <v>F-17.03_300</v>
      </c>
      <c r="B110" s="414">
        <v>300</v>
      </c>
      <c r="C110" s="327" t="s">
        <v>364</v>
      </c>
      <c r="D110" s="324" t="s">
        <v>684</v>
      </c>
      <c r="E110" s="1219"/>
      <c r="F110" s="676"/>
    </row>
    <row r="111" spans="1:6">
      <c r="A111" s="1156" t="str">
        <f t="shared" si="1"/>
        <v>F-17.03_310</v>
      </c>
      <c r="B111" s="414">
        <v>310</v>
      </c>
      <c r="C111" s="327" t="s">
        <v>116</v>
      </c>
      <c r="D111" s="324" t="s">
        <v>685</v>
      </c>
      <c r="E111" s="1219"/>
      <c r="F111" s="671"/>
    </row>
    <row r="112" spans="1:6">
      <c r="A112" s="1156" t="str">
        <f t="shared" si="1"/>
        <v>F-17.03_320</v>
      </c>
      <c r="B112" s="414">
        <v>320</v>
      </c>
      <c r="C112" s="327" t="s">
        <v>79</v>
      </c>
      <c r="D112" s="275" t="s">
        <v>1753</v>
      </c>
      <c r="E112" s="1219"/>
      <c r="F112" s="671"/>
    </row>
    <row r="113" spans="1:6">
      <c r="A113" s="1156" t="str">
        <f t="shared" si="1"/>
        <v>F-17.03_330</v>
      </c>
      <c r="B113" s="415">
        <v>330</v>
      </c>
      <c r="C113" s="327" t="s">
        <v>342</v>
      </c>
      <c r="D113" s="115" t="s">
        <v>366</v>
      </c>
      <c r="E113" s="1219"/>
      <c r="F113" s="671"/>
    </row>
    <row r="114" spans="1:6" s="113" customFormat="1" ht="31.5">
      <c r="A114" s="1156" t="str">
        <f t="shared" si="1"/>
        <v>F-17.03_340</v>
      </c>
      <c r="B114" s="414">
        <v>340</v>
      </c>
      <c r="C114" s="327" t="s">
        <v>344</v>
      </c>
      <c r="D114" s="44" t="s">
        <v>1754</v>
      </c>
      <c r="E114" s="1220"/>
      <c r="F114" s="675">
        <f>IF($E$114&lt;=0,0,"(F17.3,r340)&lt;=0")</f>
        <v>0</v>
      </c>
    </row>
    <row r="115" spans="1:6" s="113" customFormat="1">
      <c r="A115" s="1156" t="str">
        <f t="shared" si="1"/>
        <v>F-17.03_350</v>
      </c>
      <c r="B115" s="414">
        <v>350</v>
      </c>
      <c r="C115" s="327" t="s">
        <v>429</v>
      </c>
      <c r="D115" s="115" t="s">
        <v>1755</v>
      </c>
      <c r="E115" s="1219"/>
      <c r="F115" s="799"/>
    </row>
    <row r="116" spans="1:6" s="113" customFormat="1">
      <c r="A116" s="1156" t="str">
        <f t="shared" si="1"/>
        <v>F-17.03_360</v>
      </c>
      <c r="B116" s="414">
        <v>360</v>
      </c>
      <c r="C116" s="327" t="s">
        <v>345</v>
      </c>
      <c r="D116" s="115" t="s">
        <v>0</v>
      </c>
      <c r="E116" s="1221"/>
      <c r="F116" s="675">
        <f>IF($E$116&lt;=0,0,"(F17.3,r360)&lt;=0")</f>
        <v>0</v>
      </c>
    </row>
    <row r="117" spans="1:6">
      <c r="A117" s="1156" t="str">
        <f t="shared" si="1"/>
        <v>F-17.03_370</v>
      </c>
      <c r="B117" s="414">
        <v>370</v>
      </c>
      <c r="C117" s="331" t="s">
        <v>40</v>
      </c>
      <c r="D117" s="115" t="s">
        <v>1756</v>
      </c>
      <c r="E117" s="1219"/>
      <c r="F117" s="671"/>
    </row>
    <row r="118" spans="1:6">
      <c r="A118" s="1156" t="str">
        <f t="shared" si="1"/>
        <v>F-17.03_380</v>
      </c>
      <c r="B118" s="503">
        <v>380</v>
      </c>
      <c r="C118" s="336" t="s">
        <v>417</v>
      </c>
      <c r="D118" s="337" t="s">
        <v>513</v>
      </c>
      <c r="E118" s="976">
        <f>SUM($E$106:$E$117)</f>
        <v>0</v>
      </c>
      <c r="F118" s="671"/>
    </row>
    <row r="119" spans="1:6">
      <c r="A119" s="1156" t="str">
        <f t="shared" si="1"/>
        <v>F-17.03_390</v>
      </c>
      <c r="B119" s="503">
        <v>390</v>
      </c>
      <c r="C119" s="329" t="s">
        <v>418</v>
      </c>
      <c r="D119" s="337" t="s">
        <v>51</v>
      </c>
      <c r="E119" s="977">
        <f>$E$118+$E$105</f>
        <v>0</v>
      </c>
      <c r="F119" s="671"/>
    </row>
    <row r="120" spans="1:6">
      <c r="A120" s="1100" t="s">
        <v>718</v>
      </c>
      <c r="B120" s="305"/>
      <c r="D120" s="303"/>
      <c r="E120" s="304"/>
    </row>
    <row r="121" spans="1:6" ht="24.75" customHeight="1">
      <c r="A121" s="1100" t="s">
        <v>718</v>
      </c>
      <c r="B121"/>
      <c r="C121"/>
      <c r="D121"/>
      <c r="E121"/>
      <c r="F121"/>
    </row>
    <row r="122" spans="1:6" ht="24.75" customHeight="1">
      <c r="A122" s="1100" t="s">
        <v>718</v>
      </c>
      <c r="B122"/>
      <c r="C122"/>
      <c r="D122"/>
      <c r="E122"/>
      <c r="F122"/>
    </row>
    <row r="123" spans="1:6">
      <c r="A123" s="1156" t="s">
        <v>724</v>
      </c>
      <c r="B123"/>
      <c r="C123"/>
      <c r="D123"/>
      <c r="E123"/>
      <c r="F123"/>
    </row>
    <row r="124" spans="1:6">
      <c r="A124" s="1096"/>
      <c r="B124"/>
      <c r="C124"/>
      <c r="D124"/>
      <c r="E124"/>
      <c r="F124"/>
    </row>
    <row r="125" spans="1:6">
      <c r="A125" s="1096"/>
      <c r="B125"/>
      <c r="C125"/>
      <c r="D125"/>
      <c r="E125"/>
      <c r="F125"/>
    </row>
    <row r="126" spans="1:6" ht="12.75" customHeight="1">
      <c r="A126" s="1096"/>
      <c r="B126"/>
      <c r="C126"/>
      <c r="D126"/>
      <c r="E126"/>
      <c r="F126"/>
    </row>
    <row r="127" spans="1:6">
      <c r="A127" s="1100"/>
      <c r="B127"/>
      <c r="C127"/>
      <c r="D127"/>
      <c r="E127"/>
      <c r="F127"/>
    </row>
    <row r="128" spans="1:6">
      <c r="A128" s="1100"/>
      <c r="B128"/>
      <c r="C128"/>
      <c r="D128"/>
      <c r="E128"/>
      <c r="F128"/>
    </row>
    <row r="129" spans="1:8">
      <c r="A129" s="1100"/>
      <c r="B129"/>
      <c r="C129"/>
      <c r="D129"/>
      <c r="E129"/>
      <c r="F129"/>
    </row>
    <row r="130" spans="1:8">
      <c r="A130" s="1100"/>
      <c r="B130"/>
      <c r="C130"/>
      <c r="D130"/>
      <c r="E130"/>
      <c r="F130"/>
    </row>
    <row r="131" spans="1:8">
      <c r="A131" s="1100"/>
      <c r="B131"/>
      <c r="C131"/>
      <c r="D131"/>
      <c r="E131"/>
      <c r="F131"/>
    </row>
    <row r="132" spans="1:8" s="113" customFormat="1">
      <c r="A132" s="1100"/>
      <c r="B132"/>
      <c r="C132"/>
      <c r="D132"/>
      <c r="E132"/>
      <c r="F132"/>
    </row>
    <row r="133" spans="1:8">
      <c r="A133" s="1100"/>
      <c r="B133"/>
      <c r="C133"/>
      <c r="D133"/>
      <c r="E133"/>
      <c r="F133"/>
    </row>
    <row r="134" spans="1:8">
      <c r="A134" s="1100"/>
      <c r="B134"/>
      <c r="C134"/>
      <c r="D134"/>
      <c r="E134"/>
      <c r="F134"/>
      <c r="G134" s="62"/>
    </row>
    <row r="135" spans="1:8">
      <c r="B135"/>
      <c r="C135"/>
      <c r="D135"/>
      <c r="E135"/>
      <c r="F135"/>
      <c r="G135" s="62"/>
      <c r="H135" s="62"/>
    </row>
    <row r="136" spans="1:8" ht="57" customHeight="1">
      <c r="B136"/>
      <c r="C136"/>
      <c r="D136"/>
      <c r="E136"/>
      <c r="F136"/>
    </row>
    <row r="137" spans="1:8">
      <c r="B137"/>
      <c r="C137"/>
      <c r="D137"/>
      <c r="E137"/>
      <c r="F137"/>
    </row>
    <row r="138" spans="1:8" s="113" customFormat="1">
      <c r="A138" s="1156"/>
      <c r="B138"/>
      <c r="C138"/>
      <c r="D138"/>
      <c r="E138"/>
      <c r="F138"/>
    </row>
    <row r="139" spans="1:8" s="113" customFormat="1">
      <c r="A139" s="1156"/>
      <c r="B139"/>
      <c r="C139"/>
      <c r="D139"/>
      <c r="E139"/>
      <c r="F139"/>
    </row>
    <row r="140" spans="1:8" s="113" customFormat="1">
      <c r="A140" s="1100"/>
      <c r="B140"/>
      <c r="C140"/>
      <c r="D140"/>
      <c r="E140"/>
      <c r="F140"/>
    </row>
    <row r="141" spans="1:8" s="113" customFormat="1">
      <c r="A141" s="1156"/>
      <c r="B141"/>
      <c r="C141"/>
      <c r="D141"/>
      <c r="E141"/>
      <c r="F141"/>
    </row>
    <row r="142" spans="1:8" s="113" customFormat="1">
      <c r="A142" s="1096"/>
      <c r="B142"/>
      <c r="C142"/>
      <c r="D142"/>
      <c r="E142"/>
      <c r="F142"/>
    </row>
    <row r="143" spans="1:8" s="113" customFormat="1">
      <c r="A143" s="1096"/>
      <c r="B143"/>
      <c r="C143"/>
      <c r="D143"/>
      <c r="E143"/>
      <c r="F143"/>
    </row>
    <row r="144" spans="1:8" s="113" customFormat="1">
      <c r="A144" s="1096"/>
      <c r="B144"/>
      <c r="C144"/>
      <c r="D144"/>
      <c r="E144"/>
      <c r="F144"/>
    </row>
    <row r="145" spans="1:6" s="113" customFormat="1">
      <c r="A145" s="1100"/>
      <c r="B145"/>
      <c r="C145"/>
      <c r="D145"/>
      <c r="E145"/>
      <c r="F145"/>
    </row>
    <row r="146" spans="1:6" s="113" customFormat="1">
      <c r="A146" s="1100"/>
      <c r="B146"/>
      <c r="C146"/>
      <c r="D146"/>
      <c r="E146"/>
      <c r="F146"/>
    </row>
    <row r="147" spans="1:6" s="113" customFormat="1">
      <c r="A147" s="1100"/>
      <c r="B147"/>
      <c r="C147"/>
      <c r="D147"/>
      <c r="E147"/>
      <c r="F147"/>
    </row>
    <row r="148" spans="1:6" s="113" customFormat="1">
      <c r="A148" s="1100"/>
      <c r="B148"/>
      <c r="C148"/>
      <c r="D148"/>
      <c r="E148"/>
      <c r="F148"/>
    </row>
    <row r="149" spans="1:6">
      <c r="A149" s="1100"/>
      <c r="B149"/>
      <c r="C149"/>
      <c r="D149"/>
      <c r="E149"/>
      <c r="F149"/>
    </row>
    <row r="150" spans="1:6">
      <c r="A150" s="1100"/>
      <c r="B150"/>
      <c r="C150"/>
      <c r="D150"/>
      <c r="E150"/>
      <c r="F150"/>
    </row>
    <row r="151" spans="1:6">
      <c r="A151" s="1100"/>
    </row>
  </sheetData>
  <sheetProtection password="C2F4" sheet="1" objects="1" scenarios="1"/>
  <dataValidations count="5">
    <dataValidation type="whole" allowBlank="1" showInputMessage="1" showErrorMessage="1" error="Wrong number format or sign" sqref="E114 E116">
      <formula1>-99999999</formula1>
      <formula2>0</formula2>
    </dataValidation>
    <dataValidation type="whole" allowBlank="1" showInputMessage="1" showErrorMessage="1" error="Wrong number format or sign" sqref="E15:E17 E64:E66 E43:E44 E46:E49 E19:E22 E24:E26 E28:E29 E31:E33 E35:E41">
      <formula1>0</formula1>
      <formula2>99999999</formula2>
    </dataValidation>
    <dataValidation type="whole" allowBlank="1" showInputMessage="1" showErrorMessage="1" error="wrong number format or sign" sqref="E81:E109">
      <formula1>0</formula1>
      <formula2>99999999</formula2>
    </dataValidation>
    <dataValidation type="whole" allowBlank="1" showInputMessage="1" showErrorMessage="1" sqref="E115 E117 E110:E113">
      <formula1>-99999999</formula1>
      <formula2>99999999</formula2>
    </dataValidation>
    <dataValidation type="whole" allowBlank="1" showInputMessage="1" showErrorMessage="1" error="wrong number format or sign" sqref="E118:E119">
      <formula1>-99999999</formula1>
      <formula2>99999999</formula2>
    </dataValidation>
  </dataValidations>
  <printOptions horizontalCentered="1" headings="1" gridLines="1"/>
  <pageMargins left="0.23622047244094491" right="0.23622047244094491" top="0.27" bottom="0.31" header="0.17" footer="0.17"/>
  <pageSetup paperSize="9" scale="62" fitToHeight="0" orientation="portrait" cellComments="asDisplayed" r:id="rId1"/>
  <headerFooter scaleWithDoc="0" alignWithMargins="0"/>
  <rowBreaks count="1" manualBreakCount="1">
    <brk id="68" max="5" man="1"/>
  </rowBreaks>
  <ignoredErrors>
    <ignoredError sqref="B37:B50 B64:B67 B81:B119 B14:B22 B27 B28:B29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O146"/>
  <sheetViews>
    <sheetView topLeftCell="B6" zoomScaleNormal="100" zoomScaleSheetLayoutView="100" workbookViewId="0">
      <selection activeCell="B6" sqref="B6"/>
    </sheetView>
  </sheetViews>
  <sheetFormatPr defaultColWidth="9.140625" defaultRowHeight="12.75"/>
  <cols>
    <col min="1" max="1" width="13.5703125" style="1156" hidden="1" customWidth="1"/>
    <col min="2" max="2" width="5.5703125" style="671" customWidth="1"/>
    <col min="3" max="3" width="76.7109375" style="671" customWidth="1"/>
    <col min="4" max="4" width="29.7109375" style="671" customWidth="1"/>
    <col min="5" max="5" width="13" style="671" customWidth="1"/>
    <col min="6" max="6" width="13.42578125" style="671" customWidth="1"/>
    <col min="7" max="7" width="15" style="671" customWidth="1"/>
    <col min="8" max="8" width="15.85546875" style="671" customWidth="1"/>
    <col min="9" max="9" width="11.7109375" style="671" customWidth="1"/>
    <col min="10" max="10" width="19.28515625" style="671" customWidth="1"/>
    <col min="11" max="11" width="16.7109375" style="671" customWidth="1"/>
    <col min="12" max="12" width="10.42578125" style="671" customWidth="1"/>
    <col min="13" max="13" width="13.42578125" style="671" customWidth="1"/>
    <col min="14" max="14" width="10.42578125" style="671" customWidth="1"/>
    <col min="15" max="16384" width="9.140625" style="671"/>
  </cols>
  <sheetData>
    <row r="1" spans="1:15" s="1097" customFormat="1" ht="18" hidden="1" customHeight="1">
      <c r="A1" s="1096" t="s">
        <v>1258</v>
      </c>
      <c r="B1" s="1118">
        <v>2</v>
      </c>
      <c r="C1" s="1118">
        <v>1</v>
      </c>
      <c r="D1" s="1119">
        <v>15</v>
      </c>
      <c r="E1" s="1182">
        <v>5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15" s="1097" customFormat="1" ht="18" hidden="1" customHeight="1">
      <c r="A2" s="1096" t="str">
        <f>Index!$A$2</f>
        <v>V20181222</v>
      </c>
      <c r="B2" s="1098"/>
      <c r="C2" s="1099"/>
      <c r="D2" s="1100"/>
      <c r="E2" s="1100" t="str">
        <f>$A$1&amp;"_"&amp;E14</f>
        <v>F-20.01_010</v>
      </c>
      <c r="F2" s="1100" t="str">
        <f>$A$1&amp;"_"&amp;F14</f>
        <v>F-20.01_020</v>
      </c>
      <c r="G2" s="1100"/>
      <c r="H2" s="1100"/>
      <c r="I2" s="1100"/>
      <c r="J2" s="1100"/>
      <c r="K2" s="1100"/>
      <c r="L2" s="1100"/>
      <c r="M2" s="1100"/>
      <c r="N2" s="1101"/>
    </row>
    <row r="3" spans="1:15" s="1097" customFormat="1" ht="18" hidden="1" customHeight="1">
      <c r="A3" s="1096" t="str">
        <f>"R:A1:P"&amp;ROW(A128)+1</f>
        <v>R:A1:P129</v>
      </c>
      <c r="B3" s="1102"/>
      <c r="C3" s="1103"/>
      <c r="D3" s="1104"/>
      <c r="E3" s="1105"/>
      <c r="F3" s="1106"/>
      <c r="G3" s="1107"/>
      <c r="H3" s="1107"/>
      <c r="I3" s="1107"/>
      <c r="J3" s="1107"/>
      <c r="K3" s="1107"/>
    </row>
    <row r="4" spans="1:15" s="1097" customFormat="1" ht="18" hidden="1" customHeight="1">
      <c r="A4" s="1096"/>
      <c r="B4" s="1102"/>
      <c r="C4" s="1103"/>
      <c r="D4" s="1108"/>
      <c r="E4" s="1109"/>
      <c r="F4" s="1110"/>
      <c r="G4" s="1111">
        <f>N5</f>
        <v>0</v>
      </c>
      <c r="H4" s="1107"/>
      <c r="I4" s="1107"/>
      <c r="J4" s="1107"/>
      <c r="K4" s="1107"/>
    </row>
    <row r="5" spans="1:15" s="1097" customFormat="1" ht="18" hidden="1" customHeight="1">
      <c r="A5" s="1096"/>
      <c r="B5" s="1102"/>
      <c r="C5" s="1103"/>
      <c r="D5" s="1112"/>
      <c r="E5" s="1113"/>
      <c r="F5" s="1114"/>
    </row>
    <row r="6" spans="1:15" s="1116" customFormat="1">
      <c r="A6" s="1100" t="s">
        <v>718</v>
      </c>
      <c r="B6" s="1115"/>
    </row>
    <row r="7" spans="1:15">
      <c r="A7" s="1100" t="s">
        <v>718</v>
      </c>
      <c r="B7" s="708" t="s">
        <v>580</v>
      </c>
    </row>
    <row r="8" spans="1:15">
      <c r="A8" s="1100" t="s">
        <v>718</v>
      </c>
      <c r="C8" s="709"/>
      <c r="D8" s="2108" t="s">
        <v>1268</v>
      </c>
      <c r="E8" s="2108"/>
      <c r="F8" s="2108"/>
      <c r="G8" s="1229" t="str">
        <f>IF(SUM(E15:F46)+SUM(E60:F81)+SUM(E96:F126)&lt;&gt;0,"Y","N")</f>
        <v>N</v>
      </c>
    </row>
    <row r="9" spans="1:15">
      <c r="A9" s="1100" t="s">
        <v>718</v>
      </c>
      <c r="B9" s="711" t="s">
        <v>677</v>
      </c>
      <c r="D9" s="712"/>
      <c r="E9" s="710"/>
      <c r="F9" s="710"/>
      <c r="G9" s="710"/>
    </row>
    <row r="10" spans="1:15">
      <c r="A10" s="1100" t="s">
        <v>718</v>
      </c>
      <c r="B10" s="713"/>
      <c r="D10" s="710"/>
      <c r="E10" s="710"/>
      <c r="F10" s="710"/>
      <c r="G10" s="710"/>
    </row>
    <row r="11" spans="1:15" ht="27.75" customHeight="1">
      <c r="A11" s="1100" t="s">
        <v>718</v>
      </c>
      <c r="B11" s="800"/>
      <c r="C11" s="714"/>
      <c r="D11" s="715"/>
      <c r="E11" s="1978" t="s">
        <v>1559</v>
      </c>
      <c r="F11" s="2094"/>
      <c r="G11" s="710"/>
    </row>
    <row r="12" spans="1:15" ht="31.5">
      <c r="A12" s="1100" t="s">
        <v>718</v>
      </c>
      <c r="B12" s="800"/>
      <c r="C12" s="716"/>
      <c r="D12" s="717" t="s">
        <v>551</v>
      </c>
      <c r="E12" s="613" t="s">
        <v>244</v>
      </c>
      <c r="F12" s="613" t="s">
        <v>245</v>
      </c>
    </row>
    <row r="13" spans="1:15" ht="21">
      <c r="A13" s="1100" t="s">
        <v>718</v>
      </c>
      <c r="B13" s="800"/>
      <c r="C13" s="716"/>
      <c r="D13" s="717"/>
      <c r="E13" s="584" t="s">
        <v>1677</v>
      </c>
      <c r="F13" s="584" t="s">
        <v>1677</v>
      </c>
    </row>
    <row r="14" spans="1:15">
      <c r="A14" s="1100" t="s">
        <v>718</v>
      </c>
      <c r="B14" s="802"/>
      <c r="C14" s="719"/>
      <c r="D14" s="633"/>
      <c r="E14" s="1505" t="s">
        <v>292</v>
      </c>
      <c r="F14" s="1505" t="s">
        <v>293</v>
      </c>
    </row>
    <row r="15" spans="1:15">
      <c r="A15" s="1156" t="str">
        <f t="shared" ref="A15:A46" si="0">$A$1&amp;"_"&amp;B15</f>
        <v>F-20.01_010</v>
      </c>
      <c r="B15" s="645" t="s">
        <v>292</v>
      </c>
      <c r="C15" s="720" t="s">
        <v>693</v>
      </c>
      <c r="D15" s="638" t="s">
        <v>423</v>
      </c>
      <c r="E15" s="853">
        <f>SUM($E$16:$E$18)</f>
        <v>0</v>
      </c>
      <c r="F15" s="853">
        <f>SUM($F$16:$F$18)</f>
        <v>0</v>
      </c>
      <c r="G15" s="665"/>
      <c r="H15" s="665"/>
    </row>
    <row r="16" spans="1:15">
      <c r="A16" s="1156" t="str">
        <f t="shared" si="0"/>
        <v>F-20.01_020</v>
      </c>
      <c r="B16" s="645" t="s">
        <v>293</v>
      </c>
      <c r="C16" s="648" t="s">
        <v>56</v>
      </c>
      <c r="D16" s="641" t="s">
        <v>589</v>
      </c>
      <c r="E16" s="929"/>
      <c r="F16" s="929"/>
      <c r="G16" s="665"/>
      <c r="H16" s="665"/>
    </row>
    <row r="17" spans="1:8">
      <c r="A17" s="1156" t="str">
        <f t="shared" si="0"/>
        <v>F-20.01_030</v>
      </c>
      <c r="B17" s="645" t="s">
        <v>294</v>
      </c>
      <c r="C17" s="643" t="s">
        <v>142</v>
      </c>
      <c r="D17" s="721" t="s">
        <v>590</v>
      </c>
      <c r="E17" s="929"/>
      <c r="F17" s="929"/>
      <c r="G17" s="665"/>
      <c r="H17" s="665"/>
    </row>
    <row r="18" spans="1:8">
      <c r="A18" s="1156" t="str">
        <f t="shared" si="0"/>
        <v>F-20.01_040</v>
      </c>
      <c r="B18" s="645" t="s">
        <v>295</v>
      </c>
      <c r="C18" s="643" t="s">
        <v>424</v>
      </c>
      <c r="D18" s="721" t="s">
        <v>591</v>
      </c>
      <c r="E18" s="929"/>
      <c r="F18" s="929"/>
      <c r="G18" s="665"/>
      <c r="H18" s="665"/>
    </row>
    <row r="19" spans="1:8">
      <c r="A19" s="1156" t="str">
        <f t="shared" si="0"/>
        <v>F-20.01_050</v>
      </c>
      <c r="B19" s="645" t="s">
        <v>296</v>
      </c>
      <c r="C19" s="646" t="s">
        <v>58</v>
      </c>
      <c r="D19" s="647" t="s">
        <v>1670</v>
      </c>
      <c r="E19" s="957">
        <f>SUM($E$20:$E$23)</f>
        <v>0</v>
      </c>
      <c r="F19" s="957">
        <f>SUM($F$20:$F$23)</f>
        <v>0</v>
      </c>
      <c r="G19" s="665"/>
      <c r="H19" s="665"/>
    </row>
    <row r="20" spans="1:8">
      <c r="A20" s="1156" t="str">
        <f t="shared" si="0"/>
        <v>F-20.01_060</v>
      </c>
      <c r="B20" s="645" t="s">
        <v>297</v>
      </c>
      <c r="C20" s="648" t="s">
        <v>121</v>
      </c>
      <c r="D20" s="649" t="s">
        <v>1670</v>
      </c>
      <c r="E20" s="932"/>
      <c r="F20" s="932"/>
      <c r="G20" s="665"/>
      <c r="H20" s="665"/>
    </row>
    <row r="21" spans="1:8">
      <c r="A21" s="1156" t="str">
        <f t="shared" si="0"/>
        <v>F-20.01_070</v>
      </c>
      <c r="B21" s="645" t="s">
        <v>298</v>
      </c>
      <c r="C21" s="650" t="s">
        <v>59</v>
      </c>
      <c r="D21" s="649" t="s">
        <v>60</v>
      </c>
      <c r="E21" s="932"/>
      <c r="F21" s="932"/>
      <c r="G21" s="665"/>
      <c r="H21" s="665"/>
    </row>
    <row r="22" spans="1:8">
      <c r="A22" s="1156" t="str">
        <f t="shared" si="0"/>
        <v>F-20.01_080</v>
      </c>
      <c r="B22" s="645" t="s">
        <v>299</v>
      </c>
      <c r="C22" s="650" t="s">
        <v>55</v>
      </c>
      <c r="D22" s="649" t="s">
        <v>595</v>
      </c>
      <c r="E22" s="932"/>
      <c r="F22" s="932"/>
      <c r="G22" s="665"/>
      <c r="H22" s="665"/>
    </row>
    <row r="23" spans="1:8">
      <c r="A23" s="1156" t="str">
        <f t="shared" si="0"/>
        <v>F-20.01_090</v>
      </c>
      <c r="B23" s="645" t="s">
        <v>300</v>
      </c>
      <c r="C23" s="650" t="s">
        <v>61</v>
      </c>
      <c r="D23" s="649" t="s">
        <v>1576</v>
      </c>
      <c r="E23" s="932"/>
      <c r="F23" s="932"/>
      <c r="G23" s="665"/>
      <c r="H23" s="665"/>
    </row>
    <row r="24" spans="1:8">
      <c r="A24" s="1156" t="str">
        <f t="shared" si="0"/>
        <v>F-20.01_096</v>
      </c>
      <c r="B24" s="1702" t="s">
        <v>1678</v>
      </c>
      <c r="C24" s="1506" t="s">
        <v>1679</v>
      </c>
      <c r="D24" s="14" t="s">
        <v>1671</v>
      </c>
      <c r="E24" s="957">
        <f>SUM($E$25:$E$27)</f>
        <v>0</v>
      </c>
      <c r="F24" s="957">
        <f>SUM($F$25:$F$27)</f>
        <v>0</v>
      </c>
      <c r="G24" s="1484"/>
      <c r="H24" s="1484"/>
    </row>
    <row r="25" spans="1:8">
      <c r="A25" s="1156" t="str">
        <f t="shared" si="0"/>
        <v>F-20.01_097</v>
      </c>
      <c r="B25" s="1702" t="s">
        <v>1680</v>
      </c>
      <c r="C25" s="1703" t="s">
        <v>59</v>
      </c>
      <c r="D25" s="14" t="s">
        <v>60</v>
      </c>
      <c r="E25" s="932"/>
      <c r="F25" s="932"/>
      <c r="G25" s="1484"/>
      <c r="H25" s="1484"/>
    </row>
    <row r="26" spans="1:8">
      <c r="A26" s="1156" t="str">
        <f t="shared" si="0"/>
        <v>F-20.01_098</v>
      </c>
      <c r="B26" s="1702" t="s">
        <v>1681</v>
      </c>
      <c r="C26" s="1703" t="s">
        <v>55</v>
      </c>
      <c r="D26" s="14" t="s">
        <v>595</v>
      </c>
      <c r="E26" s="932"/>
      <c r="F26" s="932"/>
      <c r="G26" s="1484"/>
      <c r="H26" s="1484"/>
    </row>
    <row r="27" spans="1:8">
      <c r="A27" s="1156" t="str">
        <f t="shared" si="0"/>
        <v>F-20.01_099</v>
      </c>
      <c r="B27" s="1702" t="s">
        <v>1682</v>
      </c>
      <c r="C27" s="1703" t="s">
        <v>61</v>
      </c>
      <c r="D27" s="14" t="s">
        <v>1576</v>
      </c>
      <c r="E27" s="932"/>
      <c r="F27" s="932"/>
      <c r="G27" s="1484"/>
      <c r="H27" s="1484"/>
    </row>
    <row r="28" spans="1:8">
      <c r="A28" s="1156" t="str">
        <f t="shared" si="0"/>
        <v>F-20.01_100</v>
      </c>
      <c r="B28" s="361" t="s">
        <v>301</v>
      </c>
      <c r="C28" s="1745" t="s">
        <v>62</v>
      </c>
      <c r="D28" s="14" t="s">
        <v>1580</v>
      </c>
      <c r="E28" s="957">
        <f>SUM($E$29:$E$30)</f>
        <v>0</v>
      </c>
      <c r="F28" s="957">
        <f>SUM($F$29:$F$30)</f>
        <v>0</v>
      </c>
      <c r="G28" s="665"/>
      <c r="H28" s="665"/>
    </row>
    <row r="29" spans="1:8">
      <c r="A29" s="1156" t="str">
        <f t="shared" si="0"/>
        <v>F-20.01_120</v>
      </c>
      <c r="B29" s="361" t="s">
        <v>303</v>
      </c>
      <c r="C29" s="47" t="s">
        <v>55</v>
      </c>
      <c r="D29" s="14" t="s">
        <v>595</v>
      </c>
      <c r="E29" s="932"/>
      <c r="F29" s="932"/>
      <c r="G29" s="665"/>
      <c r="H29" s="665"/>
    </row>
    <row r="30" spans="1:8">
      <c r="A30" s="1156" t="str">
        <f t="shared" si="0"/>
        <v>F-20.01_130</v>
      </c>
      <c r="B30" s="361" t="s">
        <v>304</v>
      </c>
      <c r="C30" s="47" t="s">
        <v>61</v>
      </c>
      <c r="D30" s="14" t="s">
        <v>1576</v>
      </c>
      <c r="E30" s="932"/>
      <c r="F30" s="932"/>
      <c r="G30" s="665"/>
      <c r="H30" s="665"/>
    </row>
    <row r="31" spans="1:8">
      <c r="A31" s="1156" t="str">
        <f t="shared" si="0"/>
        <v>F-20.01_141</v>
      </c>
      <c r="B31" s="361">
        <v>141</v>
      </c>
      <c r="C31" s="1506" t="s">
        <v>1683</v>
      </c>
      <c r="D31" s="14" t="s">
        <v>1672</v>
      </c>
      <c r="E31" s="957">
        <f>SUM($E$32:$E$34)</f>
        <v>0</v>
      </c>
      <c r="F31" s="957">
        <f>SUM($F$32:$F$34)</f>
        <v>0</v>
      </c>
      <c r="G31" s="1484"/>
      <c r="H31" s="1484"/>
    </row>
    <row r="32" spans="1:8">
      <c r="A32" s="1156" t="str">
        <f t="shared" si="0"/>
        <v>F-20.01_142</v>
      </c>
      <c r="B32" s="361">
        <v>142</v>
      </c>
      <c r="C32" s="8" t="s">
        <v>59</v>
      </c>
      <c r="D32" s="14" t="s">
        <v>60</v>
      </c>
      <c r="E32" s="932"/>
      <c r="F32" s="932"/>
      <c r="G32" s="1484"/>
      <c r="H32" s="1484"/>
    </row>
    <row r="33" spans="1:15">
      <c r="A33" s="1156" t="str">
        <f t="shared" si="0"/>
        <v>F-20.01_143</v>
      </c>
      <c r="B33" s="361">
        <v>143</v>
      </c>
      <c r="C33" s="8" t="s">
        <v>55</v>
      </c>
      <c r="D33" s="14" t="s">
        <v>595</v>
      </c>
      <c r="E33" s="932"/>
      <c r="F33" s="932"/>
      <c r="G33" s="1484"/>
      <c r="H33" s="1484"/>
    </row>
    <row r="34" spans="1:15">
      <c r="A34" s="1156" t="str">
        <f t="shared" si="0"/>
        <v>F-20.01_144</v>
      </c>
      <c r="B34" s="361">
        <v>144</v>
      </c>
      <c r="C34" s="8" t="s">
        <v>61</v>
      </c>
      <c r="D34" s="14" t="s">
        <v>1576</v>
      </c>
      <c r="E34" s="932"/>
      <c r="F34" s="932"/>
      <c r="G34" s="1484"/>
      <c r="H34" s="1484"/>
    </row>
    <row r="35" spans="1:15">
      <c r="A35" s="1156" t="str">
        <f t="shared" si="0"/>
        <v>F-20.01_181</v>
      </c>
      <c r="B35" s="361">
        <v>181</v>
      </c>
      <c r="C35" s="1506" t="s">
        <v>1572</v>
      </c>
      <c r="D35" s="14" t="s">
        <v>1573</v>
      </c>
      <c r="E35" s="957">
        <f>SUM($E$36:$E$37)</f>
        <v>0</v>
      </c>
      <c r="F35" s="957">
        <f>SUM($F$36:$F$37)</f>
        <v>0</v>
      </c>
      <c r="G35" s="1484"/>
      <c r="H35" s="1484"/>
    </row>
    <row r="36" spans="1:15">
      <c r="A36" s="1156" t="str">
        <f t="shared" si="0"/>
        <v>F-20.01_182</v>
      </c>
      <c r="B36" s="361">
        <v>182</v>
      </c>
      <c r="C36" s="8" t="s">
        <v>55</v>
      </c>
      <c r="D36" s="14" t="s">
        <v>595</v>
      </c>
      <c r="E36" s="932"/>
      <c r="F36" s="932"/>
      <c r="G36" s="1484"/>
      <c r="H36" s="1484"/>
    </row>
    <row r="37" spans="1:15">
      <c r="A37" s="1156" t="str">
        <f t="shared" si="0"/>
        <v>F-20.01_183</v>
      </c>
      <c r="B37" s="361">
        <v>183</v>
      </c>
      <c r="C37" s="8" t="s">
        <v>61</v>
      </c>
      <c r="D37" s="14" t="s">
        <v>1576</v>
      </c>
      <c r="E37" s="932"/>
      <c r="F37" s="932"/>
      <c r="G37" s="1484"/>
      <c r="H37" s="1484"/>
    </row>
    <row r="38" spans="1:15">
      <c r="A38" s="1156" t="str">
        <f t="shared" si="0"/>
        <v>F-20.01_240</v>
      </c>
      <c r="B38" s="645">
        <v>240</v>
      </c>
      <c r="C38" s="646" t="s">
        <v>5</v>
      </c>
      <c r="D38" s="649" t="s">
        <v>1673</v>
      </c>
      <c r="E38" s="924"/>
      <c r="F38" s="924"/>
      <c r="G38" s="665"/>
      <c r="H38" s="665"/>
    </row>
    <row r="39" spans="1:15">
      <c r="A39" s="1156" t="str">
        <f t="shared" si="0"/>
        <v>F-20.01_250</v>
      </c>
      <c r="B39" s="645">
        <v>250</v>
      </c>
      <c r="C39" s="646" t="s">
        <v>112</v>
      </c>
      <c r="D39" s="647" t="s">
        <v>1674</v>
      </c>
      <c r="E39" s="924"/>
      <c r="F39" s="924"/>
      <c r="G39" s="665"/>
      <c r="H39" s="665"/>
    </row>
    <row r="40" spans="1:15">
      <c r="A40" s="1156" t="str">
        <f t="shared" si="0"/>
        <v>F-20.01_260</v>
      </c>
      <c r="B40" s="645">
        <v>260</v>
      </c>
      <c r="C40" s="646" t="s">
        <v>64</v>
      </c>
      <c r="D40" s="655"/>
      <c r="E40" s="930"/>
      <c r="F40" s="930"/>
      <c r="G40" s="665"/>
      <c r="H40" s="665"/>
    </row>
    <row r="41" spans="1:15">
      <c r="A41" s="1156" t="str">
        <f t="shared" si="0"/>
        <v>F-20.01_270</v>
      </c>
      <c r="B41" s="645">
        <v>270</v>
      </c>
      <c r="C41" s="646" t="s">
        <v>67</v>
      </c>
      <c r="D41" s="647" t="s">
        <v>681</v>
      </c>
      <c r="E41" s="933"/>
      <c r="F41" s="933"/>
      <c r="G41" s="665"/>
      <c r="H41" s="665"/>
    </row>
    <row r="42" spans="1:15" ht="21">
      <c r="A42" s="1156" t="str">
        <f t="shared" si="0"/>
        <v>F-20.01_280</v>
      </c>
      <c r="B42" s="645">
        <v>280</v>
      </c>
      <c r="C42" s="646" t="s">
        <v>357</v>
      </c>
      <c r="D42" s="654" t="s">
        <v>1675</v>
      </c>
      <c r="E42" s="933"/>
      <c r="F42" s="933"/>
      <c r="G42" s="665"/>
      <c r="H42" s="665"/>
    </row>
    <row r="43" spans="1:15">
      <c r="A43" s="1156" t="str">
        <f t="shared" si="0"/>
        <v>F-20.01_290</v>
      </c>
      <c r="B43" s="645">
        <v>290</v>
      </c>
      <c r="C43" s="646" t="s">
        <v>71</v>
      </c>
      <c r="D43" s="654" t="s">
        <v>507</v>
      </c>
      <c r="E43" s="930"/>
      <c r="F43" s="930"/>
      <c r="G43" s="665"/>
      <c r="H43" s="665"/>
    </row>
    <row r="44" spans="1:15">
      <c r="A44" s="1156" t="str">
        <f t="shared" si="0"/>
        <v>F-20.01_300</v>
      </c>
      <c r="B44" s="645">
        <v>300</v>
      </c>
      <c r="C44" s="646" t="s">
        <v>74</v>
      </c>
      <c r="D44" s="647" t="s">
        <v>593</v>
      </c>
      <c r="E44" s="933"/>
      <c r="F44" s="933"/>
      <c r="G44" s="665"/>
      <c r="H44" s="665"/>
    </row>
    <row r="45" spans="1:15" ht="21">
      <c r="A45" s="1156" t="str">
        <f t="shared" si="0"/>
        <v>F-20.01_310</v>
      </c>
      <c r="B45" s="657">
        <v>310</v>
      </c>
      <c r="C45" s="646" t="s">
        <v>75</v>
      </c>
      <c r="D45" s="654" t="s">
        <v>1676</v>
      </c>
      <c r="E45" s="930"/>
      <c r="F45" s="930"/>
      <c r="G45" s="665"/>
      <c r="H45" s="665"/>
    </row>
    <row r="46" spans="1:15">
      <c r="A46" s="1156" t="str">
        <f t="shared" si="0"/>
        <v>F-20.01_320</v>
      </c>
      <c r="B46" s="658">
        <v>320</v>
      </c>
      <c r="C46" s="722" t="s">
        <v>170</v>
      </c>
      <c r="D46" s="723" t="s">
        <v>541</v>
      </c>
      <c r="E46" s="959">
        <f>SUM($E$15+$E$19,$E$24,$E$28,$E$31,$E$35,$E$38+$E$39+$E$40+$E$41+$E$42+$E$43+$E$44+$E$45)</f>
        <v>0</v>
      </c>
      <c r="F46" s="959">
        <f>SUM($F$15+$F$19,$F$24,$F$28,$F$31,$F$35,$F$38+$F$39+$F$40+$F$41+$F$42+$F$43+$F$44+$F$45)</f>
        <v>0</v>
      </c>
      <c r="G46" s="665"/>
      <c r="H46" s="665"/>
    </row>
    <row r="47" spans="1:15" ht="12.75" customHeight="1">
      <c r="A47" s="1156" t="s">
        <v>724</v>
      </c>
      <c r="E47" s="2109"/>
      <c r="F47" s="2109"/>
      <c r="G47" s="2107"/>
      <c r="H47" s="2107"/>
    </row>
    <row r="48" spans="1:15" s="1097" customFormat="1" ht="18" hidden="1" customHeight="1">
      <c r="A48" s="1096" t="s">
        <v>1259</v>
      </c>
      <c r="B48" s="1118">
        <v>2</v>
      </c>
      <c r="C48" s="1118">
        <v>1</v>
      </c>
      <c r="D48" s="1119">
        <v>13</v>
      </c>
      <c r="E48" s="1182">
        <v>5</v>
      </c>
      <c r="F48" s="1120">
        <v>3</v>
      </c>
      <c r="G48" s="1121">
        <v>4</v>
      </c>
      <c r="H48" s="1122">
        <v>4</v>
      </c>
      <c r="I48" s="1122">
        <v>4</v>
      </c>
      <c r="J48" s="1123">
        <v>4</v>
      </c>
      <c r="K48" s="1123">
        <v>5</v>
      </c>
      <c r="L48" s="1124">
        <v>4</v>
      </c>
      <c r="M48" s="1124">
        <v>6</v>
      </c>
      <c r="N48" s="1125">
        <v>4</v>
      </c>
      <c r="O48" s="1125">
        <v>7</v>
      </c>
    </row>
    <row r="49" spans="1:14" s="1097" customFormat="1" ht="18" hidden="1" customHeight="1">
      <c r="A49" s="1096" t="str">
        <f>Index!$A$2</f>
        <v>V20181222</v>
      </c>
      <c r="B49" s="1098"/>
      <c r="C49" s="1099"/>
      <c r="D49" s="1100"/>
      <c r="E49" s="1100" t="str">
        <f>$A$48&amp;"_"&amp;E59</f>
        <v>F-20.02_010</v>
      </c>
      <c r="F49" s="1100" t="str">
        <f>$A$48&amp;"_"&amp;F59</f>
        <v>F-20.02_020</v>
      </c>
      <c r="G49" s="1100"/>
      <c r="H49" s="1100"/>
      <c r="I49" s="1100"/>
      <c r="J49" s="1100"/>
      <c r="K49" s="1100"/>
      <c r="L49" s="1100"/>
      <c r="M49" s="1100"/>
      <c r="N49" s="1101"/>
    </row>
    <row r="50" spans="1:14" s="1097" customFormat="1" ht="18" hidden="1" customHeight="1">
      <c r="A50" s="1096" t="str">
        <f>"R:A1:P"&amp;ROW(A215)+1</f>
        <v>R:A1:P216</v>
      </c>
      <c r="B50" s="1102"/>
      <c r="C50" s="1103"/>
      <c r="D50" s="1104"/>
      <c r="E50" s="1105"/>
      <c r="F50" s="1106"/>
      <c r="G50" s="1107"/>
      <c r="H50" s="1107"/>
      <c r="I50" s="1107"/>
      <c r="J50" s="1107"/>
      <c r="K50" s="1107"/>
    </row>
    <row r="51" spans="1:14" s="1097" customFormat="1" ht="18" hidden="1" customHeight="1">
      <c r="A51" s="1096"/>
      <c r="B51" s="1102"/>
      <c r="C51" s="1103"/>
      <c r="D51" s="1108"/>
      <c r="E51" s="1109"/>
      <c r="F51" s="1110"/>
      <c r="G51" s="1111">
        <f>N52</f>
        <v>0</v>
      </c>
      <c r="H51" s="1107"/>
      <c r="I51" s="1107"/>
      <c r="J51" s="1107"/>
      <c r="K51" s="1107"/>
    </row>
    <row r="52" spans="1:14" s="1097" customFormat="1" ht="18" hidden="1" customHeight="1">
      <c r="A52" s="1096"/>
      <c r="B52" s="1102"/>
      <c r="C52" s="1103"/>
      <c r="D52" s="1112"/>
      <c r="E52" s="1113"/>
      <c r="F52" s="1114"/>
      <c r="N52" s="1097">
        <f>COUNTIF(G60:I82,"&lt;&gt;0")-COUNTBLANK(G60:I82)</f>
        <v>0</v>
      </c>
    </row>
    <row r="53" spans="1:14" s="1116" customFormat="1">
      <c r="A53" s="1100" t="s">
        <v>718</v>
      </c>
      <c r="B53" s="1115"/>
    </row>
    <row r="54" spans="1:14" ht="12.75" customHeight="1">
      <c r="A54" s="1100" t="s">
        <v>718</v>
      </c>
      <c r="B54" s="711" t="s">
        <v>581</v>
      </c>
      <c r="C54" s="711"/>
      <c r="D54" s="967"/>
      <c r="E54" s="2107"/>
      <c r="F54" s="2107"/>
    </row>
    <row r="55" spans="1:14">
      <c r="A55" s="1100" t="s">
        <v>718</v>
      </c>
      <c r="B55" s="711"/>
      <c r="C55" s="711"/>
    </row>
    <row r="56" spans="1:14" ht="23.25" customHeight="1">
      <c r="A56" s="1100" t="s">
        <v>718</v>
      </c>
      <c r="B56" s="795"/>
      <c r="C56" s="714"/>
      <c r="D56" s="715"/>
      <c r="E56" s="1978" t="s">
        <v>1559</v>
      </c>
      <c r="F56" s="2094"/>
      <c r="G56" s="710"/>
    </row>
    <row r="57" spans="1:14" ht="31.5">
      <c r="A57" s="1100" t="s">
        <v>718</v>
      </c>
      <c r="B57" s="800"/>
      <c r="C57" s="716"/>
      <c r="D57" s="717" t="s">
        <v>551</v>
      </c>
      <c r="E57" s="613" t="s">
        <v>244</v>
      </c>
      <c r="F57" s="613" t="s">
        <v>245</v>
      </c>
    </row>
    <row r="58" spans="1:14" ht="21">
      <c r="A58" s="1100" t="s">
        <v>718</v>
      </c>
      <c r="B58" s="800"/>
      <c r="C58" s="716"/>
      <c r="D58" s="717"/>
      <c r="E58" s="584" t="s">
        <v>1677</v>
      </c>
      <c r="F58" s="584" t="s">
        <v>1677</v>
      </c>
    </row>
    <row r="59" spans="1:14">
      <c r="A59" s="1100" t="s">
        <v>718</v>
      </c>
      <c r="B59" s="802"/>
      <c r="C59" s="719"/>
      <c r="D59" s="633"/>
      <c r="E59" s="1507" t="s">
        <v>292</v>
      </c>
      <c r="F59" s="1507" t="s">
        <v>293</v>
      </c>
    </row>
    <row r="60" spans="1:14">
      <c r="A60" s="1156" t="str">
        <f>$A$48&amp;"_"&amp;B60</f>
        <v>F-20.02_010</v>
      </c>
      <c r="B60" s="724" t="s">
        <v>292</v>
      </c>
      <c r="C60" s="725" t="s">
        <v>76</v>
      </c>
      <c r="D60" s="726" t="s">
        <v>1684</v>
      </c>
      <c r="E60" s="960">
        <f>SUM($E$61:$E$65)</f>
        <v>0</v>
      </c>
      <c r="F60" s="960">
        <f>SUM($F$61:$F$65)</f>
        <v>0</v>
      </c>
      <c r="G60" s="676"/>
      <c r="H60" s="676"/>
    </row>
    <row r="61" spans="1:14" ht="21">
      <c r="A61" s="1156" t="str">
        <f t="shared" ref="A61:A81" si="1">$A$48&amp;"_"&amp;B61</f>
        <v>F-20.02_020</v>
      </c>
      <c r="B61" s="645" t="s">
        <v>293</v>
      </c>
      <c r="C61" s="648" t="s">
        <v>121</v>
      </c>
      <c r="D61" s="647" t="s">
        <v>1685</v>
      </c>
      <c r="E61" s="931"/>
      <c r="F61" s="931"/>
      <c r="G61" s="676"/>
      <c r="H61" s="676"/>
    </row>
    <row r="62" spans="1:14">
      <c r="A62" s="1156" t="str">
        <f t="shared" si="1"/>
        <v>F-20.02_030</v>
      </c>
      <c r="B62" s="645" t="s">
        <v>294</v>
      </c>
      <c r="C62" s="648" t="s">
        <v>77</v>
      </c>
      <c r="D62" s="647" t="s">
        <v>1686</v>
      </c>
      <c r="E62" s="931"/>
      <c r="F62" s="931"/>
      <c r="G62" s="676"/>
      <c r="H62" s="676"/>
    </row>
    <row r="63" spans="1:14" ht="21">
      <c r="A63" s="1156" t="str">
        <f t="shared" si="1"/>
        <v>F-20.02_040</v>
      </c>
      <c r="B63" s="645" t="s">
        <v>295</v>
      </c>
      <c r="C63" s="648" t="s">
        <v>15</v>
      </c>
      <c r="D63" s="649" t="s">
        <v>1568</v>
      </c>
      <c r="E63" s="932"/>
      <c r="F63" s="932"/>
      <c r="G63" s="676"/>
      <c r="H63" s="676"/>
    </row>
    <row r="64" spans="1:14">
      <c r="A64" s="1156" t="str">
        <f t="shared" si="1"/>
        <v>F-20.02_050</v>
      </c>
      <c r="B64" s="645" t="s">
        <v>296</v>
      </c>
      <c r="C64" s="648" t="s">
        <v>32</v>
      </c>
      <c r="D64" s="644" t="s">
        <v>1569</v>
      </c>
      <c r="E64" s="932"/>
      <c r="F64" s="932"/>
      <c r="G64" s="676"/>
      <c r="H64" s="676"/>
    </row>
    <row r="65" spans="1:8">
      <c r="A65" s="1156" t="str">
        <f t="shared" si="1"/>
        <v>F-20.02_060</v>
      </c>
      <c r="B65" s="645" t="s">
        <v>297</v>
      </c>
      <c r="C65" s="648" t="s">
        <v>48</v>
      </c>
      <c r="D65" s="644" t="s">
        <v>1570</v>
      </c>
      <c r="E65" s="932"/>
      <c r="F65" s="932"/>
      <c r="G65" s="676"/>
      <c r="H65" s="676"/>
    </row>
    <row r="66" spans="1:8">
      <c r="A66" s="1156" t="str">
        <f t="shared" si="1"/>
        <v>F-20.02_070</v>
      </c>
      <c r="B66" s="645" t="s">
        <v>298</v>
      </c>
      <c r="C66" s="646" t="s">
        <v>113</v>
      </c>
      <c r="D66" s="649" t="s">
        <v>1587</v>
      </c>
      <c r="E66" s="958">
        <f>SUM($E$67:$E$69)</f>
        <v>0</v>
      </c>
      <c r="F66" s="958">
        <f>SUM($F$67:$F$69)</f>
        <v>0</v>
      </c>
      <c r="G66" s="676"/>
      <c r="H66" s="676"/>
    </row>
    <row r="67" spans="1:8" ht="21">
      <c r="A67" s="1156" t="str">
        <f t="shared" si="1"/>
        <v>F-20.02_080</v>
      </c>
      <c r="B67" s="645" t="s">
        <v>299</v>
      </c>
      <c r="C67" s="648" t="s">
        <v>15</v>
      </c>
      <c r="D67" s="644" t="s">
        <v>1568</v>
      </c>
      <c r="E67" s="932"/>
      <c r="F67" s="932"/>
      <c r="G67" s="676"/>
      <c r="H67" s="676"/>
    </row>
    <row r="68" spans="1:8">
      <c r="A68" s="1156" t="str">
        <f t="shared" si="1"/>
        <v>F-20.02_090</v>
      </c>
      <c r="B68" s="645" t="s">
        <v>300</v>
      </c>
      <c r="C68" s="648" t="s">
        <v>32</v>
      </c>
      <c r="D68" s="644" t="s">
        <v>1569</v>
      </c>
      <c r="E68" s="932"/>
      <c r="F68" s="932"/>
      <c r="G68" s="676"/>
      <c r="H68" s="676"/>
    </row>
    <row r="69" spans="1:8">
      <c r="A69" s="1156" t="str">
        <f t="shared" si="1"/>
        <v>F-20.02_100</v>
      </c>
      <c r="B69" s="645" t="s">
        <v>301</v>
      </c>
      <c r="C69" s="648" t="s">
        <v>48</v>
      </c>
      <c r="D69" s="644" t="s">
        <v>1570</v>
      </c>
      <c r="E69" s="932"/>
      <c r="F69" s="932"/>
      <c r="G69" s="676"/>
      <c r="H69" s="676"/>
    </row>
    <row r="70" spans="1:8">
      <c r="A70" s="1156" t="str">
        <f t="shared" si="1"/>
        <v>F-20.02_110</v>
      </c>
      <c r="B70" s="645" t="s">
        <v>302</v>
      </c>
      <c r="C70" s="646" t="s">
        <v>4</v>
      </c>
      <c r="D70" s="649" t="s">
        <v>1567</v>
      </c>
      <c r="E70" s="958">
        <f>SUM($E$71:$E$73)</f>
        <v>0</v>
      </c>
      <c r="F70" s="958">
        <f>SUM($F$71:$F$73)</f>
        <v>0</v>
      </c>
      <c r="G70" s="676"/>
      <c r="H70" s="676"/>
    </row>
    <row r="71" spans="1:8" ht="21">
      <c r="A71" s="1156" t="str">
        <f t="shared" si="1"/>
        <v>F-20.02_120</v>
      </c>
      <c r="B71" s="645" t="s">
        <v>303</v>
      </c>
      <c r="C71" s="648" t="s">
        <v>15</v>
      </c>
      <c r="D71" s="644" t="s">
        <v>1568</v>
      </c>
      <c r="E71" s="932"/>
      <c r="F71" s="932"/>
      <c r="G71" s="676"/>
      <c r="H71" s="676"/>
    </row>
    <row r="72" spans="1:8">
      <c r="A72" s="1156" t="str">
        <f t="shared" si="1"/>
        <v>F-20.02_130</v>
      </c>
      <c r="B72" s="645" t="s">
        <v>304</v>
      </c>
      <c r="C72" s="648" t="s">
        <v>32</v>
      </c>
      <c r="D72" s="644" t="s">
        <v>1569</v>
      </c>
      <c r="E72" s="932"/>
      <c r="F72" s="932"/>
      <c r="G72" s="676"/>
      <c r="H72" s="676"/>
    </row>
    <row r="73" spans="1:8">
      <c r="A73" s="1156" t="str">
        <f t="shared" si="1"/>
        <v>F-20.02_140</v>
      </c>
      <c r="B73" s="645" t="s">
        <v>305</v>
      </c>
      <c r="C73" s="648" t="s">
        <v>48</v>
      </c>
      <c r="D73" s="644" t="s">
        <v>1570</v>
      </c>
      <c r="E73" s="932"/>
      <c r="F73" s="932"/>
      <c r="G73" s="676"/>
      <c r="H73" s="676"/>
    </row>
    <row r="74" spans="1:8">
      <c r="A74" s="1156" t="str">
        <f t="shared" si="1"/>
        <v>F-20.02_150</v>
      </c>
      <c r="B74" s="645" t="s">
        <v>306</v>
      </c>
      <c r="C74" s="646" t="s">
        <v>5</v>
      </c>
      <c r="D74" s="649" t="s">
        <v>1687</v>
      </c>
      <c r="E74" s="924"/>
      <c r="F74" s="924"/>
      <c r="G74" s="676"/>
      <c r="H74" s="676"/>
    </row>
    <row r="75" spans="1:8">
      <c r="A75" s="1156" t="str">
        <f t="shared" si="1"/>
        <v>F-20.02_160</v>
      </c>
      <c r="B75" s="645" t="s">
        <v>307</v>
      </c>
      <c r="C75" s="646" t="s">
        <v>112</v>
      </c>
      <c r="D75" s="649" t="s">
        <v>1688</v>
      </c>
      <c r="E75" s="924"/>
      <c r="F75" s="924"/>
      <c r="G75" s="676"/>
      <c r="H75" s="676"/>
    </row>
    <row r="76" spans="1:8">
      <c r="A76" s="1156" t="str">
        <f t="shared" si="1"/>
        <v>F-20.02_170</v>
      </c>
      <c r="B76" s="645" t="s">
        <v>308</v>
      </c>
      <c r="C76" s="646" t="s">
        <v>6</v>
      </c>
      <c r="D76" s="649" t="s">
        <v>505</v>
      </c>
      <c r="E76" s="924"/>
      <c r="F76" s="924"/>
      <c r="G76" s="676"/>
      <c r="H76" s="676"/>
    </row>
    <row r="77" spans="1:8">
      <c r="A77" s="1156" t="str">
        <f t="shared" si="1"/>
        <v>F-20.02_180</v>
      </c>
      <c r="B77" s="645" t="s">
        <v>309</v>
      </c>
      <c r="C77" s="646" t="s">
        <v>10</v>
      </c>
      <c r="D77" s="644" t="s">
        <v>507</v>
      </c>
      <c r="E77" s="924"/>
      <c r="F77" s="924"/>
      <c r="G77" s="676"/>
      <c r="H77" s="676"/>
    </row>
    <row r="78" spans="1:8" ht="21">
      <c r="A78" s="1156" t="str">
        <f t="shared" si="1"/>
        <v>F-20.02_190</v>
      </c>
      <c r="B78" s="645" t="s">
        <v>310</v>
      </c>
      <c r="C78" s="646" t="s">
        <v>114</v>
      </c>
      <c r="D78" s="649" t="s">
        <v>1689</v>
      </c>
      <c r="E78" s="924"/>
      <c r="F78" s="924"/>
      <c r="G78" s="676"/>
      <c r="H78" s="676"/>
    </row>
    <row r="79" spans="1:8">
      <c r="A79" s="1156" t="str">
        <f t="shared" si="1"/>
        <v>F-20.02_200</v>
      </c>
      <c r="B79" s="645">
        <v>200</v>
      </c>
      <c r="C79" s="727" t="s">
        <v>13</v>
      </c>
      <c r="D79" s="644" t="s">
        <v>1690</v>
      </c>
      <c r="E79" s="1956"/>
      <c r="F79" s="1956"/>
      <c r="G79" s="676"/>
      <c r="H79" s="676"/>
    </row>
    <row r="80" spans="1:8" ht="21">
      <c r="A80" s="1156" t="str">
        <f t="shared" si="1"/>
        <v>F-20.02_210</v>
      </c>
      <c r="B80" s="657">
        <v>210</v>
      </c>
      <c r="C80" s="728" t="s">
        <v>14</v>
      </c>
      <c r="D80" s="729" t="s">
        <v>1691</v>
      </c>
      <c r="E80" s="1068"/>
      <c r="F80" s="1068"/>
      <c r="G80" s="676"/>
      <c r="H80" s="676"/>
    </row>
    <row r="81" spans="1:15">
      <c r="A81" s="1156" t="str">
        <f t="shared" si="1"/>
        <v>F-20.02_220</v>
      </c>
      <c r="B81" s="658">
        <v>220</v>
      </c>
      <c r="C81" s="730" t="s">
        <v>172</v>
      </c>
      <c r="D81" s="723" t="s">
        <v>49</v>
      </c>
      <c r="E81" s="959">
        <f>$E$60+$E$66+$E$70+$E$74+$E$75+$E$76+$E$77+$E$78+$E$79+$E$80</f>
        <v>0</v>
      </c>
      <c r="F81" s="959">
        <f>$F$60+$F$66+$F$70+$F$74+$F$75+$F$76+$F$77+$F$78+$F$79+$F$80</f>
        <v>0</v>
      </c>
      <c r="G81" s="676"/>
      <c r="H81" s="676"/>
    </row>
    <row r="82" spans="1:15">
      <c r="A82" s="1100" t="s">
        <v>718</v>
      </c>
    </row>
    <row r="83" spans="1:15">
      <c r="A83" s="1156" t="s">
        <v>724</v>
      </c>
    </row>
    <row r="84" spans="1:15" s="1097" customFormat="1" ht="18" hidden="1" customHeight="1">
      <c r="A84" s="1096" t="s">
        <v>1260</v>
      </c>
      <c r="B84" s="1118">
        <v>2</v>
      </c>
      <c r="C84" s="1118">
        <v>1</v>
      </c>
      <c r="D84" s="1119">
        <v>13</v>
      </c>
      <c r="E84" s="1182">
        <v>5</v>
      </c>
      <c r="F84" s="1120">
        <v>3</v>
      </c>
      <c r="G84" s="1121">
        <v>4</v>
      </c>
      <c r="H84" s="1122">
        <v>4</v>
      </c>
      <c r="I84" s="1122">
        <v>4</v>
      </c>
      <c r="J84" s="1123">
        <v>4</v>
      </c>
      <c r="K84" s="1123">
        <v>5</v>
      </c>
      <c r="L84" s="1124">
        <v>4</v>
      </c>
      <c r="M84" s="1124">
        <v>6</v>
      </c>
      <c r="N84" s="1125">
        <v>4</v>
      </c>
      <c r="O84" s="1125">
        <v>7</v>
      </c>
    </row>
    <row r="85" spans="1:15" s="1097" customFormat="1" ht="18" hidden="1" customHeight="1">
      <c r="A85" s="1096" t="str">
        <f>Index!$A$2</f>
        <v>V20181222</v>
      </c>
      <c r="B85" s="1098"/>
      <c r="C85" s="1099"/>
      <c r="D85" s="1100"/>
      <c r="E85" s="1100" t="str">
        <f>$A$84&amp;"_"&amp;E95</f>
        <v>F-20.03_010</v>
      </c>
      <c r="F85" s="1100" t="str">
        <f>$A$84&amp;"_"&amp;F95</f>
        <v>F-20.03_020</v>
      </c>
      <c r="G85" s="1100"/>
      <c r="H85" s="1100"/>
      <c r="I85" s="1100"/>
      <c r="J85" s="1100"/>
      <c r="K85" s="1100"/>
      <c r="L85" s="1100"/>
      <c r="M85" s="1100"/>
      <c r="N85" s="1101"/>
    </row>
    <row r="86" spans="1:15" s="1097" customFormat="1" ht="18" hidden="1" customHeight="1">
      <c r="A86" s="1096" t="str">
        <f>"R:A1:P"&amp;ROW(A251)+1</f>
        <v>R:A1:P252</v>
      </c>
      <c r="B86" s="1102"/>
      <c r="C86" s="1103"/>
      <c r="D86" s="1104"/>
      <c r="E86" s="1105"/>
      <c r="F86" s="1106"/>
      <c r="G86" s="1107"/>
      <c r="H86" s="1107"/>
      <c r="I86" s="1107"/>
      <c r="J86" s="1107"/>
      <c r="K86" s="1107"/>
    </row>
    <row r="87" spans="1:15" s="1097" customFormat="1" ht="18" hidden="1" customHeight="1">
      <c r="A87" s="1096"/>
      <c r="B87" s="1102"/>
      <c r="C87" s="1103"/>
      <c r="D87" s="1108"/>
      <c r="E87" s="1109"/>
      <c r="F87" s="1110"/>
      <c r="G87" s="1111">
        <f>N88</f>
        <v>0</v>
      </c>
      <c r="H87" s="1107"/>
      <c r="I87" s="1107"/>
      <c r="J87" s="1107"/>
      <c r="K87" s="1107"/>
    </row>
    <row r="88" spans="1:15" s="1097" customFormat="1" ht="18" hidden="1" customHeight="1">
      <c r="A88" s="1096"/>
      <c r="B88" s="1102"/>
      <c r="C88" s="1103"/>
      <c r="D88" s="1112"/>
      <c r="E88" s="1113"/>
      <c r="F88" s="1114"/>
      <c r="N88" s="1097">
        <f>COUNTIF(G96:I127,"&lt;&gt;0")-COUNTBLANK(G96:I127)</f>
        <v>0</v>
      </c>
    </row>
    <row r="89" spans="1:15" s="1116" customFormat="1">
      <c r="A89" s="1100" t="s">
        <v>718</v>
      </c>
      <c r="B89" s="1115"/>
    </row>
    <row r="90" spans="1:15">
      <c r="A90" s="1100" t="s">
        <v>718</v>
      </c>
      <c r="B90" s="711" t="s">
        <v>582</v>
      </c>
    </row>
    <row r="91" spans="1:15">
      <c r="A91" s="1100" t="s">
        <v>718</v>
      </c>
      <c r="B91" s="711"/>
      <c r="C91" s="813"/>
    </row>
    <row r="92" spans="1:15" ht="12.75" customHeight="1">
      <c r="A92" s="1100" t="s">
        <v>718</v>
      </c>
      <c r="B92" s="795"/>
      <c r="C92" s="814"/>
      <c r="D92" s="814"/>
      <c r="E92" s="1978" t="s">
        <v>54</v>
      </c>
      <c r="F92" s="2094"/>
    </row>
    <row r="93" spans="1:15" ht="31.5">
      <c r="A93" s="1100" t="s">
        <v>718</v>
      </c>
      <c r="B93" s="800"/>
      <c r="C93" s="716"/>
      <c r="D93" s="717" t="s">
        <v>551</v>
      </c>
      <c r="E93" s="613" t="s">
        <v>244</v>
      </c>
      <c r="F93" s="613" t="s">
        <v>245</v>
      </c>
    </row>
    <row r="94" spans="1:15" ht="21">
      <c r="A94" s="1100" t="s">
        <v>718</v>
      </c>
      <c r="B94" s="800"/>
      <c r="C94" s="716"/>
      <c r="D94" s="717"/>
      <c r="E94" s="584" t="s">
        <v>1677</v>
      </c>
      <c r="F94" s="584" t="s">
        <v>1677</v>
      </c>
    </row>
    <row r="95" spans="1:15">
      <c r="A95" s="1100" t="s">
        <v>718</v>
      </c>
      <c r="B95" s="802"/>
      <c r="C95" s="719"/>
      <c r="D95" s="633"/>
      <c r="E95" s="441" t="s">
        <v>292</v>
      </c>
      <c r="F95" s="441" t="s">
        <v>293</v>
      </c>
    </row>
    <row r="96" spans="1:15" s="799" customFormat="1">
      <c r="A96" s="1156" t="str">
        <f>$A$84&amp;"_"&amp;B96</f>
        <v>F-20.03_010</v>
      </c>
      <c r="B96" s="724" t="s">
        <v>292</v>
      </c>
      <c r="C96" s="731" t="s">
        <v>139</v>
      </c>
      <c r="D96" s="732" t="s">
        <v>1697</v>
      </c>
      <c r="E96" s="926"/>
      <c r="F96" s="926"/>
      <c r="G96" s="675">
        <f>IF($E$96&gt;=0,0,"F20.3,c10&gt;=0")</f>
        <v>0</v>
      </c>
      <c r="H96" s="675">
        <f>IF($F$96&gt;=0,0,"F20.3,c20&gt;=0")</f>
        <v>0</v>
      </c>
    </row>
    <row r="97" spans="1:8" s="799" customFormat="1">
      <c r="A97" s="1156" t="str">
        <f t="shared" ref="A97:A126" si="2">$A$84&amp;"_"&amp;B97</f>
        <v>F-20.03_020</v>
      </c>
      <c r="B97" s="645" t="s">
        <v>293</v>
      </c>
      <c r="C97" s="733" t="s">
        <v>243</v>
      </c>
      <c r="D97" s="734" t="s">
        <v>1697</v>
      </c>
      <c r="E97" s="927"/>
      <c r="F97" s="927"/>
      <c r="G97" s="675">
        <f>IF($E$97&gt;=0,0,"F20.3,c10&gt;=0")</f>
        <v>0</v>
      </c>
      <c r="H97" s="675">
        <f>IF($F$97&gt;=0,0,"F20.3,c20&gt;=0")</f>
        <v>0</v>
      </c>
    </row>
    <row r="98" spans="1:8" s="799" customFormat="1">
      <c r="A98" s="1156" t="str">
        <f t="shared" si="2"/>
        <v>F-20.03_030</v>
      </c>
      <c r="B98" s="645" t="s">
        <v>294</v>
      </c>
      <c r="C98" s="646" t="s">
        <v>20</v>
      </c>
      <c r="D98" s="734" t="s">
        <v>16</v>
      </c>
      <c r="E98" s="927"/>
      <c r="F98" s="927"/>
      <c r="G98" s="675">
        <f>IF($E$98&gt;=0,0,"F20.3,c10&gt;=0")</f>
        <v>0</v>
      </c>
      <c r="H98" s="675">
        <f>IF($F$98&gt;=0,0,"F20.3,c20&gt;=0")</f>
        <v>0</v>
      </c>
    </row>
    <row r="99" spans="1:8" s="799" customFormat="1">
      <c r="A99" s="1156" t="str">
        <f t="shared" si="2"/>
        <v>F-20.03_040</v>
      </c>
      <c r="B99" s="645" t="s">
        <v>295</v>
      </c>
      <c r="C99" s="733" t="s">
        <v>42</v>
      </c>
      <c r="D99" s="734" t="s">
        <v>1698</v>
      </c>
      <c r="E99" s="927"/>
      <c r="F99" s="927"/>
      <c r="G99" s="675">
        <f>IF($E$99&gt;=0,0,"F20.3,c10&gt;=0")</f>
        <v>0</v>
      </c>
      <c r="H99" s="675">
        <f>IF($F$99&gt;=0,0,"F20.3,c20&gt;=0")</f>
        <v>0</v>
      </c>
    </row>
    <row r="100" spans="1:8" s="799" customFormat="1">
      <c r="A100" s="1156" t="str">
        <f t="shared" si="2"/>
        <v>F-20.03_050</v>
      </c>
      <c r="B100" s="645" t="s">
        <v>296</v>
      </c>
      <c r="C100" s="733" t="s">
        <v>43</v>
      </c>
      <c r="D100" s="734" t="s">
        <v>598</v>
      </c>
      <c r="E100" s="927"/>
      <c r="F100" s="927"/>
      <c r="G100" s="675">
        <f>IF($E$100&gt;=0,0,"F20.3,c10&gt;=0")</f>
        <v>0</v>
      </c>
      <c r="H100" s="675">
        <f>IF($F$100&gt;=0,0,"F20.3,c20&gt;=0")</f>
        <v>0</v>
      </c>
    </row>
    <row r="101" spans="1:8" s="799" customFormat="1">
      <c r="A101" s="1156" t="str">
        <f t="shared" si="2"/>
        <v>F-20.03_060</v>
      </c>
      <c r="B101" s="645" t="s">
        <v>297</v>
      </c>
      <c r="C101" s="733" t="s">
        <v>70</v>
      </c>
      <c r="D101" s="734" t="s">
        <v>598</v>
      </c>
      <c r="E101" s="927"/>
      <c r="F101" s="927"/>
      <c r="G101" s="675">
        <f>IF($E$101&gt;=0,0,"F20.3,c10&gt;=0")</f>
        <v>0</v>
      </c>
      <c r="H101" s="675">
        <f>IF($F$101&gt;=0,0,"F20.3,c20&gt;=0")</f>
        <v>0</v>
      </c>
    </row>
    <row r="102" spans="1:8" s="799" customFormat="1" ht="21">
      <c r="A102" s="1156" t="str">
        <f t="shared" si="2"/>
        <v>F-20.03_070</v>
      </c>
      <c r="B102" s="645" t="s">
        <v>298</v>
      </c>
      <c r="C102" s="733" t="s">
        <v>410</v>
      </c>
      <c r="D102" s="734" t="s">
        <v>601</v>
      </c>
      <c r="E102" s="953"/>
      <c r="F102" s="953"/>
      <c r="G102" s="675"/>
      <c r="H102" s="675"/>
    </row>
    <row r="103" spans="1:8" s="799" customFormat="1" ht="21">
      <c r="A103" s="1156" t="str">
        <f t="shared" si="2"/>
        <v>F-20.03_080</v>
      </c>
      <c r="B103" s="645" t="s">
        <v>299</v>
      </c>
      <c r="C103" s="733" t="s">
        <v>282</v>
      </c>
      <c r="D103" s="734" t="s">
        <v>1699</v>
      </c>
      <c r="E103" s="954"/>
      <c r="F103" s="954"/>
      <c r="G103" s="675"/>
      <c r="H103" s="675"/>
    </row>
    <row r="104" spans="1:8" s="799" customFormat="1" ht="21">
      <c r="A104" s="1156" t="str">
        <f t="shared" si="2"/>
        <v>F-20.03_083</v>
      </c>
      <c r="B104" s="1702" t="s">
        <v>1692</v>
      </c>
      <c r="C104" s="1750" t="s">
        <v>1693</v>
      </c>
      <c r="D104" s="15" t="s">
        <v>1694</v>
      </c>
      <c r="E104" s="954"/>
      <c r="F104" s="954"/>
      <c r="G104" s="675"/>
      <c r="H104" s="675"/>
    </row>
    <row r="105" spans="1:8" s="799" customFormat="1" ht="21">
      <c r="A105" s="1156" t="str">
        <f t="shared" si="2"/>
        <v>F-20.03_090</v>
      </c>
      <c r="B105" s="1543" t="s">
        <v>300</v>
      </c>
      <c r="C105" s="1711" t="s">
        <v>283</v>
      </c>
      <c r="D105" s="82" t="s">
        <v>1700</v>
      </c>
      <c r="E105" s="954"/>
      <c r="F105" s="954"/>
      <c r="G105" s="675"/>
      <c r="H105" s="675"/>
    </row>
    <row r="106" spans="1:8" s="799" customFormat="1">
      <c r="A106" s="1156" t="str">
        <f t="shared" si="2"/>
        <v>F-20.03_100</v>
      </c>
      <c r="B106" s="361">
        <v>100</v>
      </c>
      <c r="C106" s="1711" t="s">
        <v>284</v>
      </c>
      <c r="D106" s="82" t="s">
        <v>1701</v>
      </c>
      <c r="E106" s="954"/>
      <c r="F106" s="954"/>
      <c r="G106" s="675"/>
      <c r="H106" s="675"/>
    </row>
    <row r="107" spans="1:8" s="799" customFormat="1">
      <c r="A107" s="1156" t="str">
        <f t="shared" si="2"/>
        <v>F-20.03_110</v>
      </c>
      <c r="B107" s="361">
        <v>110</v>
      </c>
      <c r="C107" s="1711" t="s">
        <v>285</v>
      </c>
      <c r="D107" s="82" t="s">
        <v>30</v>
      </c>
      <c r="E107" s="954"/>
      <c r="F107" s="954"/>
      <c r="G107" s="675"/>
      <c r="H107" s="675"/>
    </row>
    <row r="108" spans="1:8" s="799" customFormat="1">
      <c r="A108" s="1156" t="str">
        <f t="shared" si="2"/>
        <v>F-20.03_130</v>
      </c>
      <c r="B108" s="361">
        <v>130</v>
      </c>
      <c r="C108" s="1751" t="s">
        <v>1702</v>
      </c>
      <c r="D108" s="15" t="s">
        <v>45</v>
      </c>
      <c r="E108" s="954"/>
      <c r="F108" s="953"/>
      <c r="G108" s="675"/>
      <c r="H108" s="675"/>
    </row>
    <row r="109" spans="1:8" s="799" customFormat="1">
      <c r="A109" s="1156" t="str">
        <f t="shared" si="2"/>
        <v>F-20.03_140</v>
      </c>
      <c r="B109" s="361">
        <v>140</v>
      </c>
      <c r="C109" s="1711" t="s">
        <v>46</v>
      </c>
      <c r="D109" s="15" t="s">
        <v>1703</v>
      </c>
      <c r="E109" s="927"/>
      <c r="F109" s="927"/>
      <c r="G109" s="675">
        <f>IF($E$109&gt;=0,0,"F20.3,c10&gt;=0")</f>
        <v>0</v>
      </c>
      <c r="H109" s="675">
        <f>IF($F$109&gt;=0,0,"F20.3,c20&gt;=0")</f>
        <v>0</v>
      </c>
    </row>
    <row r="110" spans="1:8" s="799" customFormat="1">
      <c r="A110" s="1156" t="str">
        <f t="shared" si="2"/>
        <v>F-20.03_150</v>
      </c>
      <c r="B110" s="361">
        <v>150</v>
      </c>
      <c r="C110" s="1711" t="s">
        <v>21</v>
      </c>
      <c r="D110" s="15" t="s">
        <v>1703</v>
      </c>
      <c r="E110" s="927"/>
      <c r="F110" s="927"/>
      <c r="G110" s="675">
        <f>IF($E$110&gt;=0,0,"F20.3,c10&gt;=0")</f>
        <v>0</v>
      </c>
      <c r="H110" s="675">
        <f>IF($F$110&gt;=0,0,"F20.3,c20&gt;=0")</f>
        <v>0</v>
      </c>
    </row>
    <row r="111" spans="1:8" s="799" customFormat="1">
      <c r="A111" s="1156" t="str">
        <f t="shared" si="2"/>
        <v>F-20.03_155</v>
      </c>
      <c r="B111" s="375">
        <v>155</v>
      </c>
      <c r="C111" s="1752" t="s">
        <v>464</v>
      </c>
      <c r="D111" s="341"/>
      <c r="E111" s="951">
        <f>$E$96-$E$97-$E$98+$E$99+$E$100-$E$101+$E$102+$E$103+$E$104+$E$105+$E$106+$E$107+$E$108+$E$109-$E$110</f>
        <v>0</v>
      </c>
      <c r="F111" s="951">
        <f>$F$96-$F$97-$F$98+$F$99+$F$100-$F$101+$F$102+$F$103+$F$104+$F$105+$F$106+$F$107+$F$108+$F$109-$F$110</f>
        <v>0</v>
      </c>
      <c r="G111" s="675"/>
      <c r="H111" s="675"/>
    </row>
    <row r="112" spans="1:8" s="799" customFormat="1">
      <c r="A112" s="1156" t="str">
        <f t="shared" si="2"/>
        <v>F-20.03_160</v>
      </c>
      <c r="B112" s="361">
        <v>160</v>
      </c>
      <c r="C112" s="1711" t="s">
        <v>246</v>
      </c>
      <c r="D112" s="15"/>
      <c r="E112" s="927"/>
      <c r="F112" s="927"/>
      <c r="G112" s="675">
        <f>IF($E$112&gt;=0,0,"F20.3,c10&gt;=0")</f>
        <v>0</v>
      </c>
      <c r="H112" s="675">
        <f>IF($F$112&gt;=0,0,"F20.3,c20&gt;=0")</f>
        <v>0</v>
      </c>
    </row>
    <row r="113" spans="1:8" s="799" customFormat="1">
      <c r="A113" s="1156" t="str">
        <f t="shared" si="2"/>
        <v>F-20.03_170</v>
      </c>
      <c r="B113" s="361">
        <v>170</v>
      </c>
      <c r="C113" s="1711" t="s">
        <v>23</v>
      </c>
      <c r="D113" s="15" t="s">
        <v>31</v>
      </c>
      <c r="E113" s="927"/>
      <c r="F113" s="927"/>
      <c r="G113" s="675">
        <f>IF($E$113&gt;=0,0,"F20.3,c10&gt;=0")</f>
        <v>0</v>
      </c>
      <c r="H113" s="675">
        <f>IF($F$113&gt;=0,0,"F20.3,c20&gt;=0")</f>
        <v>0</v>
      </c>
    </row>
    <row r="114" spans="1:8" ht="21">
      <c r="A114" s="1156" t="str">
        <f t="shared" si="2"/>
        <v>F-20.03_171</v>
      </c>
      <c r="B114" s="361">
        <v>171</v>
      </c>
      <c r="C114" s="1710" t="s">
        <v>1695</v>
      </c>
      <c r="D114" s="15" t="s">
        <v>1696</v>
      </c>
      <c r="E114" s="927"/>
      <c r="F114" s="927"/>
    </row>
    <row r="115" spans="1:8">
      <c r="A115" s="1156" t="str">
        <f t="shared" si="2"/>
        <v>F-20.03_180</v>
      </c>
      <c r="B115" s="645">
        <v>180</v>
      </c>
      <c r="C115" s="733" t="s">
        <v>286</v>
      </c>
      <c r="D115" s="734" t="s">
        <v>528</v>
      </c>
      <c r="E115" s="1508"/>
      <c r="F115" s="1508"/>
    </row>
    <row r="116" spans="1:8" s="799" customFormat="1" ht="21">
      <c r="A116" s="1156" t="str">
        <f t="shared" si="2"/>
        <v>F-20.03_190</v>
      </c>
      <c r="B116" s="645">
        <v>190</v>
      </c>
      <c r="C116" s="737" t="s">
        <v>348</v>
      </c>
      <c r="D116" s="734" t="s">
        <v>1704</v>
      </c>
      <c r="E116" s="953"/>
      <c r="F116" s="953"/>
      <c r="G116" s="675"/>
      <c r="H116" s="675"/>
    </row>
    <row r="117" spans="1:8" s="799" customFormat="1" ht="21">
      <c r="A117" s="1156" t="str">
        <f t="shared" si="2"/>
        <v>F-20.03_200</v>
      </c>
      <c r="B117" s="645">
        <v>200</v>
      </c>
      <c r="C117" s="738" t="s">
        <v>377</v>
      </c>
      <c r="D117" s="735" t="s">
        <v>378</v>
      </c>
      <c r="E117" s="954"/>
      <c r="F117" s="954"/>
      <c r="G117" s="675"/>
      <c r="H117" s="675"/>
    </row>
    <row r="118" spans="1:8" s="799" customFormat="1">
      <c r="A118" s="1156" t="str">
        <f t="shared" si="2"/>
        <v>F-20.03_210</v>
      </c>
      <c r="B118" s="645">
        <v>210</v>
      </c>
      <c r="C118" s="738" t="s">
        <v>466</v>
      </c>
      <c r="D118" s="735" t="s">
        <v>529</v>
      </c>
      <c r="E118" s="954"/>
      <c r="F118" s="954"/>
      <c r="G118" s="675"/>
      <c r="H118" s="675"/>
    </row>
    <row r="119" spans="1:8" s="799" customFormat="1">
      <c r="A119" s="1156" t="str">
        <f t="shared" si="2"/>
        <v>F-20.03_220</v>
      </c>
      <c r="B119" s="645">
        <v>220</v>
      </c>
      <c r="C119" s="739" t="s">
        <v>247</v>
      </c>
      <c r="D119" s="740" t="s">
        <v>533</v>
      </c>
      <c r="E119" s="952"/>
      <c r="F119" s="952"/>
      <c r="G119" s="675">
        <f>IF($E$119&gt;=0,0,"F20.3,c10&gt;=0")</f>
        <v>0</v>
      </c>
      <c r="H119" s="675">
        <f>IF($F$119&gt;=0,0,"F20.3,c20&gt;=0")</f>
        <v>0</v>
      </c>
    </row>
    <row r="120" spans="1:8" s="799" customFormat="1" ht="21">
      <c r="A120" s="1156" t="str">
        <f t="shared" si="2"/>
        <v>F-20.03_230</v>
      </c>
      <c r="B120" s="645">
        <v>230</v>
      </c>
      <c r="C120" s="739" t="s">
        <v>287</v>
      </c>
      <c r="D120" s="740" t="s">
        <v>1705</v>
      </c>
      <c r="E120" s="954"/>
      <c r="F120" s="954"/>
    </row>
    <row r="121" spans="1:8" s="799" customFormat="1" ht="21">
      <c r="A121" s="1156" t="str">
        <f t="shared" si="2"/>
        <v>F-20.03_240</v>
      </c>
      <c r="B121" s="657">
        <v>240</v>
      </c>
      <c r="C121" s="741" t="s">
        <v>288</v>
      </c>
      <c r="D121" s="742" t="s">
        <v>1706</v>
      </c>
      <c r="E121" s="953"/>
      <c r="F121" s="953"/>
    </row>
    <row r="122" spans="1:8" s="799" customFormat="1">
      <c r="A122" s="1156" t="str">
        <f t="shared" si="2"/>
        <v>F-20.03_250</v>
      </c>
      <c r="B122" s="658">
        <v>250</v>
      </c>
      <c r="C122" s="743" t="s">
        <v>373</v>
      </c>
      <c r="D122" s="744" t="s">
        <v>2</v>
      </c>
      <c r="E122" s="961">
        <f>$E$96-$E$97-$E$98+$E$99+$E$100-$E$101+$E$102+$E$103+$E$104+$E$105+$E$106+$E$107+$E$108+$E$109-$E$110-$E$112-$E$113+$E$114-$E$115-$E$116-$E$117-$E$118+$E$119+$E$120+$E$121</f>
        <v>0</v>
      </c>
      <c r="F122" s="961">
        <f>$F$96-$F$97-$F$98+$F$99+$F$100-$F$101+$F$102+$F$103+$F$104+$F$105+$F$106+$F$107+$F$108+$F$109-$F$110-$F$112-$F$113+$F$114-$F$115-$F$116-$F$117-$F$118+$F$119+$F$120+$F$121</f>
        <v>0</v>
      </c>
    </row>
    <row r="123" spans="1:8" s="799" customFormat="1" ht="21">
      <c r="A123" s="1156" t="str">
        <f t="shared" si="2"/>
        <v>F-20.03_260</v>
      </c>
      <c r="B123" s="745">
        <v>260</v>
      </c>
      <c r="C123" s="741" t="s">
        <v>289</v>
      </c>
      <c r="D123" s="744" t="s">
        <v>534</v>
      </c>
      <c r="E123" s="955"/>
      <c r="F123" s="955"/>
    </row>
    <row r="124" spans="1:8" s="799" customFormat="1">
      <c r="A124" s="1156" t="str">
        <f t="shared" si="2"/>
        <v>F-20.03_270</v>
      </c>
      <c r="B124" s="658">
        <v>270</v>
      </c>
      <c r="C124" s="743" t="s">
        <v>374</v>
      </c>
      <c r="D124" s="744" t="s">
        <v>3</v>
      </c>
      <c r="E124" s="961">
        <f>+$E$122-$E$123</f>
        <v>0</v>
      </c>
      <c r="F124" s="961">
        <f>+$F$122-$F$123</f>
        <v>0</v>
      </c>
    </row>
    <row r="125" spans="1:8" s="799" customFormat="1" ht="21">
      <c r="A125" s="1156" t="str">
        <f t="shared" si="2"/>
        <v>F-20.03_280</v>
      </c>
      <c r="B125" s="745">
        <v>280</v>
      </c>
      <c r="C125" s="746" t="s">
        <v>290</v>
      </c>
      <c r="D125" s="747" t="s">
        <v>1707</v>
      </c>
      <c r="E125" s="956"/>
      <c r="F125" s="956"/>
    </row>
    <row r="126" spans="1:8" s="799" customFormat="1">
      <c r="A126" s="1156" t="str">
        <f t="shared" si="2"/>
        <v>F-20.03_290</v>
      </c>
      <c r="B126" s="658">
        <v>290</v>
      </c>
      <c r="C126" s="748" t="s">
        <v>375</v>
      </c>
      <c r="D126" s="749" t="s">
        <v>691</v>
      </c>
      <c r="E126" s="961">
        <f>+$E$124+$E$125</f>
        <v>0</v>
      </c>
      <c r="F126" s="961">
        <f>+$F$124+$F$125</f>
        <v>0</v>
      </c>
    </row>
    <row r="127" spans="1:8" s="799" customFormat="1">
      <c r="A127" s="1097" t="s">
        <v>718</v>
      </c>
      <c r="B127" s="1659"/>
      <c r="C127" s="751"/>
      <c r="D127" s="752"/>
      <c r="E127" s="844"/>
      <c r="F127" s="844"/>
    </row>
    <row r="128" spans="1:8">
      <c r="A128" s="1156" t="s">
        <v>724</v>
      </c>
      <c r="B128" s="1660"/>
    </row>
    <row r="129" spans="1:2">
      <c r="A129" s="1097"/>
      <c r="B129" s="1660"/>
    </row>
    <row r="138" spans="1:2">
      <c r="A138" s="1664"/>
      <c r="B138" s="1660"/>
    </row>
    <row r="139" spans="1:2">
      <c r="A139" s="1664"/>
      <c r="B139" s="1660"/>
    </row>
    <row r="140" spans="1:2">
      <c r="A140" s="1097"/>
      <c r="B140" s="1660"/>
    </row>
    <row r="141" spans="1:2">
      <c r="A141" s="1097"/>
      <c r="B141" s="1660"/>
    </row>
    <row r="142" spans="1:2">
      <c r="A142" s="1097"/>
      <c r="B142" s="1660"/>
    </row>
    <row r="143" spans="1:2">
      <c r="A143" s="1097"/>
      <c r="B143" s="1660"/>
    </row>
    <row r="144" spans="1:2">
      <c r="A144" s="1097"/>
      <c r="B144" s="1660"/>
    </row>
    <row r="145" spans="1:2">
      <c r="A145" s="1097"/>
      <c r="B145" s="1660"/>
    </row>
    <row r="146" spans="1:2">
      <c r="A146" s="1097"/>
      <c r="B146" s="1660"/>
    </row>
  </sheetData>
  <sheetProtection password="C2F4" sheet="1" objects="1" scenarios="1"/>
  <mergeCells count="7">
    <mergeCell ref="G47:H47"/>
    <mergeCell ref="D8:F8"/>
    <mergeCell ref="E11:F11"/>
    <mergeCell ref="E56:F56"/>
    <mergeCell ref="E92:F92"/>
    <mergeCell ref="E47:F47"/>
    <mergeCell ref="E54:F54"/>
  </mergeCells>
  <dataValidations count="3">
    <dataValidation type="whole" allowBlank="1" showInputMessage="1" showErrorMessage="1" error="Wrong number format or sign" sqref="E109:F114 E119:F119 E60:F81 E96:F101 E15:F46">
      <formula1>0</formula1>
      <formula2>99999999</formula2>
    </dataValidation>
    <dataValidation type="whole" allowBlank="1" showInputMessage="1" showErrorMessage="1" error="wrong number format or sign" sqref="E102:F108">
      <formula1>-99999999</formula1>
      <formula2>99999999</formula2>
    </dataValidation>
    <dataValidation type="whole" allowBlank="1" showInputMessage="1" showErrorMessage="1" error="Wrong number format or sign" sqref="E120:F126 E115:F118">
      <formula1>-99999999</formula1>
      <formula2>99999999</formula2>
    </dataValidation>
  </dataValidations>
  <printOptions horizontalCentered="1" headings="1" gridLines="1"/>
  <pageMargins left="0.23622047244094491" right="0.23622047244094491" top="0.23622047244094491" bottom="0.23622047244094491" header="0.15748031496062992" footer="0.15748031496062992"/>
  <pageSetup paperSize="9" scale="50" fitToHeight="2" orientation="landscape" cellComments="asDisplayed" r:id="rId1"/>
  <headerFooter scaleWithDoc="0" alignWithMargins="0"/>
  <rowBreaks count="1" manualBreakCount="1">
    <brk id="53" max="7" man="1"/>
  </rowBreaks>
  <ignoredErrors>
    <ignoredError sqref="B38:B46 B60:B81 B105:B113 B15:B23 B28 B96:B103 B116:B126 B29:B30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8"/>
  <sheetViews>
    <sheetView topLeftCell="B6" zoomScaleNormal="100" zoomScaleSheetLayoutView="100" workbookViewId="0">
      <selection activeCell="B6" sqref="B6"/>
    </sheetView>
  </sheetViews>
  <sheetFormatPr defaultColWidth="9.140625" defaultRowHeight="12.75"/>
  <cols>
    <col min="1" max="1" width="13.5703125" style="1156" hidden="1" customWidth="1"/>
    <col min="2" max="2" width="5.5703125" style="671" customWidth="1"/>
    <col min="3" max="3" width="76.7109375" style="671" customWidth="1"/>
    <col min="4" max="4" width="29.7109375" style="671" customWidth="1"/>
    <col min="5" max="5" width="13" style="671" customWidth="1"/>
    <col min="6" max="6" width="15.42578125" style="671" customWidth="1"/>
    <col min="7" max="7" width="15" style="671" customWidth="1"/>
    <col min="8" max="9" width="16" style="671" customWidth="1"/>
    <col min="10" max="11" width="19.28515625" style="671" customWidth="1"/>
    <col min="12" max="19" width="14.7109375" style="671" customWidth="1"/>
    <col min="20" max="20" width="40" style="671" customWidth="1"/>
    <col min="21" max="16384" width="9.140625" style="671"/>
  </cols>
  <sheetData>
    <row r="1" spans="1:15" s="1097" customFormat="1" ht="18" hidden="1" customHeight="1">
      <c r="A1" s="1096" t="s">
        <v>1261</v>
      </c>
      <c r="B1" s="1118">
        <v>2</v>
      </c>
      <c r="C1" s="1118">
        <v>1</v>
      </c>
      <c r="D1" s="1119">
        <v>16</v>
      </c>
      <c r="E1" s="1182">
        <v>5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15" s="1097" customFormat="1" ht="18" hidden="1" customHeight="1">
      <c r="A2" s="1096" t="str">
        <f>Index!$A$2</f>
        <v>V20181222</v>
      </c>
      <c r="B2" s="1098"/>
      <c r="C2" s="1099"/>
      <c r="D2" s="1100"/>
      <c r="E2" s="1100" t="str">
        <f>$A$1&amp;"_"&amp;E16</f>
        <v>F-20.04_010</v>
      </c>
      <c r="F2" s="1100" t="str">
        <f t="shared" ref="F2:K2" si="0">$A$1&amp;"_"&amp;F16</f>
        <v>F-20.04_011</v>
      </c>
      <c r="G2" s="1100" t="str">
        <f t="shared" si="0"/>
        <v>F-20.04_012</v>
      </c>
      <c r="H2" s="1100" t="str">
        <f t="shared" si="0"/>
        <v>F-20.04_022</v>
      </c>
      <c r="I2" s="1100" t="str">
        <f t="shared" si="0"/>
        <v>F-20.04_025</v>
      </c>
      <c r="J2" s="1100" t="str">
        <f t="shared" si="0"/>
        <v>F-20.04_031</v>
      </c>
      <c r="K2" s="1100" t="str">
        <f t="shared" si="0"/>
        <v>F-20.04_040</v>
      </c>
      <c r="L2" s="1100"/>
      <c r="M2" s="1100"/>
      <c r="N2" s="1100"/>
      <c r="O2" s="1101"/>
    </row>
    <row r="3" spans="1:15" s="1097" customFormat="1" ht="18" hidden="1" customHeight="1">
      <c r="A3" s="1096" t="str">
        <f>"R:A1:P"&amp;ROW(A125)+1</f>
        <v>R:A1:P126</v>
      </c>
      <c r="B3" s="1102"/>
      <c r="C3" s="1103"/>
      <c r="D3" s="1104"/>
      <c r="E3" s="1105"/>
      <c r="F3" s="1106"/>
      <c r="G3" s="1107"/>
      <c r="H3" s="1107"/>
      <c r="I3" s="1107"/>
      <c r="J3" s="1107"/>
      <c r="K3" s="1107"/>
      <c r="L3" s="1107"/>
    </row>
    <row r="4" spans="1:15" s="1097" customFormat="1" ht="18" hidden="1" customHeight="1">
      <c r="A4" s="1096"/>
      <c r="B4" s="1102"/>
      <c r="C4" s="1103"/>
      <c r="D4" s="1108"/>
      <c r="E4" s="1109"/>
      <c r="F4" s="1110" t="str">
        <f>D9</f>
        <v>x1</v>
      </c>
      <c r="G4" s="1111">
        <f>O5</f>
        <v>0</v>
      </c>
      <c r="H4" s="1107"/>
      <c r="I4" s="1107"/>
      <c r="J4" s="1107"/>
      <c r="K4" s="1107"/>
      <c r="L4" s="1107"/>
    </row>
    <row r="5" spans="1:15" s="1097" customFormat="1" ht="18" hidden="1" customHeight="1">
      <c r="A5" s="1096"/>
      <c r="B5" s="1102"/>
      <c r="C5" s="1103"/>
      <c r="D5" s="1112"/>
      <c r="E5" s="1113"/>
      <c r="F5" s="1114"/>
      <c r="O5" s="1097">
        <f>COUNTIF(L17:T41,"&lt;&gt;0")-COUNTBLANK(L17:T41)+COUNTIF(E41:K44,"&lt;&gt;0")-COUNTBLANK(E41:K44)</f>
        <v>0</v>
      </c>
    </row>
    <row r="6" spans="1:15" s="1116" customFormat="1">
      <c r="A6" s="1100" t="s">
        <v>718</v>
      </c>
      <c r="B6" s="1115"/>
    </row>
    <row r="7" spans="1:15">
      <c r="A7" s="1100" t="s">
        <v>718</v>
      </c>
      <c r="B7" s="708" t="s">
        <v>717</v>
      </c>
    </row>
    <row r="8" spans="1:15">
      <c r="A8" s="1100" t="s">
        <v>718</v>
      </c>
      <c r="C8" s="709"/>
      <c r="D8" s="710"/>
      <c r="E8" s="710"/>
      <c r="F8" s="710"/>
      <c r="G8" s="710"/>
    </row>
    <row r="9" spans="1:15" s="1160" customFormat="1" ht="15">
      <c r="A9" s="1100" t="s">
        <v>718</v>
      </c>
      <c r="B9" s="1159"/>
      <c r="C9" s="1157" t="s">
        <v>1226</v>
      </c>
      <c r="D9" s="1700" t="s">
        <v>2205</v>
      </c>
      <c r="E9" s="1158"/>
      <c r="F9" s="1158"/>
      <c r="G9" s="1478" t="str">
        <f>IF(ISERROR(VLOOKUP(D9,Codes,1,)),"ERROR: SELECT COUNTRY FROM ALLOWED LIST - TOTAL should NOT be included","")</f>
        <v/>
      </c>
    </row>
    <row r="10" spans="1:15">
      <c r="A10" s="1100" t="s">
        <v>718</v>
      </c>
      <c r="B10" s="792"/>
      <c r="C10" s="709"/>
      <c r="D10" s="710"/>
      <c r="E10" s="710"/>
      <c r="F10" s="710"/>
    </row>
    <row r="11" spans="1:15">
      <c r="A11" s="1100" t="s">
        <v>718</v>
      </c>
      <c r="B11" s="711" t="s">
        <v>583</v>
      </c>
      <c r="C11" s="792"/>
      <c r="D11" s="1764" t="s">
        <v>2250</v>
      </c>
      <c r="E11" s="1229" t="str">
        <f>IF(SUM(E17:K40)+SUM(E58:H60)+SUM(E75:E87)+SUM(E104:I123)&lt;&gt;0,"Y","N")</f>
        <v>N</v>
      </c>
      <c r="F11" s="710"/>
    </row>
    <row r="12" spans="1:15">
      <c r="A12" s="1100" t="s">
        <v>718</v>
      </c>
      <c r="B12" s="711"/>
      <c r="C12" s="792"/>
      <c r="D12" s="710"/>
      <c r="E12" s="1464"/>
      <c r="F12" s="1519"/>
      <c r="G12" s="1519"/>
    </row>
    <row r="13" spans="1:15" ht="22.5" customHeight="1">
      <c r="A13" s="1100" t="s">
        <v>718</v>
      </c>
      <c r="B13" s="795"/>
      <c r="C13" s="753"/>
      <c r="D13" s="2110" t="s">
        <v>551</v>
      </c>
      <c r="E13" s="2113" t="s">
        <v>181</v>
      </c>
      <c r="F13" s="1520"/>
      <c r="G13" s="1520"/>
      <c r="H13" s="1521"/>
      <c r="I13" s="1521"/>
      <c r="J13" s="2115" t="s">
        <v>149</v>
      </c>
      <c r="K13" s="2115" t="s">
        <v>1727</v>
      </c>
    </row>
    <row r="14" spans="1:15" ht="42" customHeight="1">
      <c r="A14" s="1100"/>
      <c r="B14" s="800"/>
      <c r="C14" s="716"/>
      <c r="D14" s="2111"/>
      <c r="E14" s="2114"/>
      <c r="F14" s="1515" t="s">
        <v>1719</v>
      </c>
      <c r="G14" s="1515" t="s">
        <v>1720</v>
      </c>
      <c r="H14" s="1515" t="s">
        <v>698</v>
      </c>
      <c r="I14" s="1522" t="s">
        <v>1724</v>
      </c>
      <c r="J14" s="2114"/>
      <c r="K14" s="2114"/>
    </row>
    <row r="15" spans="1:15" ht="31.5">
      <c r="A15" s="1100" t="s">
        <v>718</v>
      </c>
      <c r="B15" s="800"/>
      <c r="C15" s="716"/>
      <c r="D15" s="2111"/>
      <c r="E15" s="1518" t="s">
        <v>1728</v>
      </c>
      <c r="F15" s="584" t="s">
        <v>1721</v>
      </c>
      <c r="G15" s="584" t="s">
        <v>1722</v>
      </c>
      <c r="H15" s="584" t="s">
        <v>1725</v>
      </c>
      <c r="I15" s="584" t="s">
        <v>1725</v>
      </c>
      <c r="J15" s="1753" t="s">
        <v>1726</v>
      </c>
      <c r="K15" s="1753" t="s">
        <v>1726</v>
      </c>
    </row>
    <row r="16" spans="1:15">
      <c r="A16" s="1100" t="s">
        <v>718</v>
      </c>
      <c r="B16" s="802"/>
      <c r="C16" s="719"/>
      <c r="D16" s="2112"/>
      <c r="E16" s="755" t="s">
        <v>292</v>
      </c>
      <c r="F16" s="1517" t="s">
        <v>1723</v>
      </c>
      <c r="G16" s="1517" t="s">
        <v>695</v>
      </c>
      <c r="H16" s="1517" t="s">
        <v>699</v>
      </c>
      <c r="I16" s="1517" t="s">
        <v>700</v>
      </c>
      <c r="J16" s="755" t="s">
        <v>2248</v>
      </c>
      <c r="K16" s="755" t="s">
        <v>295</v>
      </c>
    </row>
    <row r="17" spans="1:20" ht="21">
      <c r="A17" s="1156" t="str">
        <f t="shared" ref="A17:A40" si="1">$A$1&amp;"_"&amp;B17</f>
        <v>F-20.04_010</v>
      </c>
      <c r="B17" s="756" t="s">
        <v>292</v>
      </c>
      <c r="C17" s="757" t="s">
        <v>121</v>
      </c>
      <c r="D17" s="1509" t="s">
        <v>1708</v>
      </c>
      <c r="E17" s="928"/>
      <c r="F17" s="928"/>
      <c r="G17" s="928"/>
      <c r="H17" s="845"/>
      <c r="I17" s="845"/>
      <c r="J17" s="758"/>
      <c r="K17" s="758"/>
      <c r="L17" s="1653"/>
      <c r="M17" s="1653">
        <f>IF($E$17&gt;=SUM($E$18:$E$19),0,"c10(r10&gt;=sum(r20-30))")</f>
        <v>0</v>
      </c>
      <c r="N17" s="1653">
        <f>IF($F$17&gt;=SUM($F$18:$F$19),0,"c11(r10&gt;=sum(r20-30))")</f>
        <v>0</v>
      </c>
      <c r="O17" s="1653">
        <f>IF($G$17&gt;=SUM($G$18:$G$19),0,"c12(r10&gt;=sum(r20-30))")</f>
        <v>0</v>
      </c>
      <c r="P17" s="1653">
        <f>IF($F$17&gt;=0,0,"F20.4,c11&gt;=0")</f>
        <v>0</v>
      </c>
      <c r="Q17" s="1653">
        <f>IF($G$17&gt;=0,0,"F20.4,c12&gt;=0")</f>
        <v>0</v>
      </c>
    </row>
    <row r="18" spans="1:20">
      <c r="A18" s="1156" t="str">
        <f t="shared" si="1"/>
        <v>F-20.04_020</v>
      </c>
      <c r="B18" s="759" t="s">
        <v>293</v>
      </c>
      <c r="C18" s="760" t="s">
        <v>413</v>
      </c>
      <c r="D18" s="82" t="s">
        <v>1709</v>
      </c>
      <c r="E18" s="929"/>
      <c r="F18" s="929"/>
      <c r="G18" s="929"/>
      <c r="H18" s="846"/>
      <c r="I18" s="846"/>
      <c r="J18" s="761"/>
      <c r="K18" s="761"/>
      <c r="L18" s="1653"/>
      <c r="N18" s="1653">
        <f>IF($E$17&gt;=0,0,"F20.4,c10&gt;=0")</f>
        <v>0</v>
      </c>
      <c r="P18" s="1653">
        <f>IF($F$18&gt;=0,0,"F20.4,c11&gt;=0")</f>
        <v>0</v>
      </c>
      <c r="Q18" s="1653">
        <f>IF($G$18&gt;=0,0,"F20.4,c12&gt;=0")</f>
        <v>0</v>
      </c>
    </row>
    <row r="19" spans="1:20">
      <c r="A19" s="1156" t="str">
        <f t="shared" si="1"/>
        <v>F-20.04_030</v>
      </c>
      <c r="B19" s="759" t="s">
        <v>294</v>
      </c>
      <c r="C19" s="760" t="s">
        <v>414</v>
      </c>
      <c r="D19" s="82" t="s">
        <v>1710</v>
      </c>
      <c r="E19" s="929"/>
      <c r="F19" s="929"/>
      <c r="G19" s="929"/>
      <c r="H19" s="846"/>
      <c r="I19" s="846"/>
      <c r="J19" s="761"/>
      <c r="K19" s="761"/>
      <c r="L19" s="1653"/>
      <c r="N19" s="1653">
        <f>IF($E$18&gt;=0,0,"F20.4,c10&gt;=0")</f>
        <v>0</v>
      </c>
      <c r="P19" s="1653">
        <f>IF($F$19&gt;=0,0,"F20.4,c11&gt;=0")</f>
        <v>0</v>
      </c>
      <c r="Q19" s="1653">
        <f>IF($G$19&gt;=0,0,"F20.4,c12&gt;=0")</f>
        <v>0</v>
      </c>
    </row>
    <row r="20" spans="1:20">
      <c r="A20" s="1156" t="str">
        <f t="shared" si="1"/>
        <v>F-20.04_040</v>
      </c>
      <c r="B20" s="762" t="s">
        <v>295</v>
      </c>
      <c r="C20" s="763" t="s">
        <v>59</v>
      </c>
      <c r="D20" s="1510" t="s">
        <v>60</v>
      </c>
      <c r="E20" s="930"/>
      <c r="F20" s="930"/>
      <c r="G20" s="930"/>
      <c r="H20" s="846"/>
      <c r="I20" s="846"/>
      <c r="J20" s="761"/>
      <c r="K20" s="761"/>
      <c r="L20" s="1653"/>
      <c r="M20" s="1653">
        <f>IF($E$20&gt;=SUM($E$21:$E$23),0,"c10(r40&gt;=sum(r50-70))")</f>
        <v>0</v>
      </c>
      <c r="N20" s="1653">
        <f>IF($E$19&gt;=0,0,"F20.4,c10&gt;=0")</f>
        <v>0</v>
      </c>
      <c r="P20" s="1653">
        <f>IF($F$20&gt;=0,0,"F20.4,c11&gt;=0")</f>
        <v>0</v>
      </c>
      <c r="Q20" s="1653">
        <f>IF($G$20&gt;=0,0,"F20.4,c12&gt;=0")</f>
        <v>0</v>
      </c>
      <c r="T20" s="1832">
        <f>IF($E$11="Y", IF(E20='1.1'!F20+'1.1'!F24+'1.1'!F31,0,"sum({F 20.04, r040, c010, (sNNN)}) = sum({F 01.01, (r070, r097, r142), c010})"),0)</f>
        <v>0</v>
      </c>
    </row>
    <row r="21" spans="1:20">
      <c r="A21" s="1156" t="str">
        <f t="shared" si="1"/>
        <v>F-20.04_050</v>
      </c>
      <c r="B21" s="762" t="s">
        <v>296</v>
      </c>
      <c r="C21" s="760" t="s">
        <v>413</v>
      </c>
      <c r="D21" s="82" t="s">
        <v>1709</v>
      </c>
      <c r="E21" s="931"/>
      <c r="F21" s="931"/>
      <c r="G21" s="931"/>
      <c r="H21" s="847"/>
      <c r="I21" s="847"/>
      <c r="J21" s="764"/>
      <c r="K21" s="764"/>
      <c r="L21" s="1653"/>
      <c r="M21" s="1653">
        <f>IF($F$20&gt;=SUM($F$21:$F$23),0,"c11(r40&gt;=sum(r50-70))")</f>
        <v>0</v>
      </c>
      <c r="N21" s="1653">
        <f>IF($E$20&gt;=0,0,"F20.4,c10&gt;=0")</f>
        <v>0</v>
      </c>
      <c r="P21" s="1653">
        <f>IF($F$21&gt;=0,0,"F20.4,c11&gt;=0")</f>
        <v>0</v>
      </c>
      <c r="Q21" s="1653">
        <f>IF($G$21&gt;=0,0,"F20.4,c12&gt;=0")</f>
        <v>0</v>
      </c>
      <c r="T21" s="792"/>
    </row>
    <row r="22" spans="1:20">
      <c r="A22" s="1156" t="str">
        <f t="shared" si="1"/>
        <v>F-20.04_060</v>
      </c>
      <c r="B22" s="762" t="s">
        <v>297</v>
      </c>
      <c r="C22" s="760" t="s">
        <v>414</v>
      </c>
      <c r="D22" s="82" t="s">
        <v>1710</v>
      </c>
      <c r="E22" s="932"/>
      <c r="F22" s="932"/>
      <c r="G22" s="932"/>
      <c r="H22" s="848"/>
      <c r="I22" s="848"/>
      <c r="J22" s="765"/>
      <c r="K22" s="765"/>
      <c r="L22" s="1653"/>
      <c r="M22" s="1653">
        <f>IF($G$20&gt;=SUM($G$21:$G$23),0,"c12(r40&gt;=sum(r50-70))")</f>
        <v>0</v>
      </c>
      <c r="N22" s="1653">
        <f>IF($E$21&gt;=0,0,"F20.4,c10&gt;=0")</f>
        <v>0</v>
      </c>
      <c r="P22" s="1653">
        <f>IF($F$22&gt;=0,0,"F20.4,c11&gt;=0")</f>
        <v>0</v>
      </c>
      <c r="Q22" s="1653">
        <f>IF($G$22&gt;=0,0,"F20.4,c12&gt;=0")</f>
        <v>0</v>
      </c>
      <c r="T22" s="792"/>
    </row>
    <row r="23" spans="1:20">
      <c r="A23" s="1156" t="str">
        <f t="shared" si="1"/>
        <v>F-20.04_070</v>
      </c>
      <c r="B23" s="762" t="s">
        <v>298</v>
      </c>
      <c r="C23" s="766" t="s">
        <v>705</v>
      </c>
      <c r="D23" s="82" t="s">
        <v>1711</v>
      </c>
      <c r="E23" s="932"/>
      <c r="F23" s="932"/>
      <c r="G23" s="932"/>
      <c r="H23" s="848"/>
      <c r="I23" s="848"/>
      <c r="J23" s="765"/>
      <c r="K23" s="765"/>
      <c r="L23" s="1653"/>
      <c r="N23" s="1653">
        <f>IF($E$22&gt;=0,0,"F20.4,c10&gt;=0")</f>
        <v>0</v>
      </c>
      <c r="P23" s="1653">
        <f>IF($F$23&gt;=0,0,"F20.4,c11&gt;=0")</f>
        <v>0</v>
      </c>
      <c r="Q23" s="1653">
        <f>IF($G$23&gt;=0,0,"F20.4,c12&gt;=0")</f>
        <v>0</v>
      </c>
      <c r="T23" s="792"/>
    </row>
    <row r="24" spans="1:20">
      <c r="A24" s="1156" t="str">
        <f t="shared" si="1"/>
        <v>F-20.04_080</v>
      </c>
      <c r="B24" s="767" t="s">
        <v>299</v>
      </c>
      <c r="C24" s="763" t="s">
        <v>55</v>
      </c>
      <c r="D24" s="14" t="s">
        <v>1712</v>
      </c>
      <c r="E24" s="957">
        <f t="shared" ref="E24:K24" si="2">SUM(E$25+E$26+E$27+E$28+E$29)</f>
        <v>0</v>
      </c>
      <c r="F24" s="957">
        <f t="shared" si="2"/>
        <v>0</v>
      </c>
      <c r="G24" s="957">
        <f t="shared" si="2"/>
        <v>0</v>
      </c>
      <c r="H24" s="957">
        <f t="shared" si="2"/>
        <v>0</v>
      </c>
      <c r="I24" s="957">
        <f t="shared" si="2"/>
        <v>0</v>
      </c>
      <c r="J24" s="1781">
        <f t="shared" si="2"/>
        <v>0</v>
      </c>
      <c r="K24" s="1781">
        <f t="shared" si="2"/>
        <v>0</v>
      </c>
      <c r="L24" s="1653">
        <f>IF($E$24&gt;=$H$24,0,"C10&gt;=c22")</f>
        <v>0</v>
      </c>
      <c r="M24" s="1653">
        <f>IF($E$24&gt;=SUM($E$25:$E$29),0,"c10(r80&gt;=sum(r90-130))")</f>
        <v>0</v>
      </c>
      <c r="N24" s="1653">
        <f>IF($E$23&gt;=0,0,"F20.4,c10&gt;=0")</f>
        <v>0</v>
      </c>
      <c r="O24" s="1653">
        <f>IF($I$24&lt;=$E$24,0,"c25&lt;=c10")</f>
        <v>0</v>
      </c>
      <c r="P24" s="1653">
        <f>IF($F$24&gt;=0,0,"F20.4,c11&gt;=0")</f>
        <v>0</v>
      </c>
      <c r="Q24" s="1653">
        <f>IF($G$24&gt;=0,0,"F20.4,c12&gt;=0")</f>
        <v>0</v>
      </c>
      <c r="R24" s="1653">
        <f>IF(J24&lt;=0,0,"F20.4,c031&lt;=0")</f>
        <v>0</v>
      </c>
      <c r="S24" s="1653">
        <f>IF(K24&lt;=0,0,"F20.4,c040&lt;=0")</f>
        <v>0</v>
      </c>
      <c r="T24" s="1832">
        <f t="shared" ref="T24:T40" si="3">IF(J24&lt;&gt;0,IF(E24&lt;=0,"if {c031} != 0 then {c010} &gt; 0",0),0)</f>
        <v>0</v>
      </c>
    </row>
    <row r="25" spans="1:20">
      <c r="A25" s="1156" t="str">
        <f t="shared" si="1"/>
        <v>F-20.04_090</v>
      </c>
      <c r="B25" s="762" t="s">
        <v>300</v>
      </c>
      <c r="C25" s="768" t="s">
        <v>99</v>
      </c>
      <c r="D25" s="82" t="s">
        <v>1713</v>
      </c>
      <c r="E25" s="932"/>
      <c r="F25" s="932"/>
      <c r="G25" s="932"/>
      <c r="H25" s="931"/>
      <c r="I25" s="931"/>
      <c r="J25" s="1380"/>
      <c r="K25" s="1380"/>
      <c r="L25" s="1653">
        <f>IF($E$25&gt;=$H$25,0,"C10&gt;=c22")</f>
        <v>0</v>
      </c>
      <c r="N25" s="1653">
        <f>IF($E$24&gt;=0,0,"F20.4,c10&gt;=0")</f>
        <v>0</v>
      </c>
      <c r="O25" s="1653">
        <f>IF($I$25&lt;=$E$25,0,"c25&lt;=c10")</f>
        <v>0</v>
      </c>
      <c r="P25" s="1653">
        <f>IF($F$25&gt;=0,0,"F20.4,c11&gt;=0")</f>
        <v>0</v>
      </c>
      <c r="Q25" s="1653">
        <f>IF($G$25&gt;=0,0,"F20.4,c12&gt;=0")</f>
        <v>0</v>
      </c>
      <c r="R25" s="1653">
        <f t="shared" ref="R25:R40" si="4">IF($J25&lt;=0,0,"F20.4,c031&lt;=0")</f>
        <v>0</v>
      </c>
      <c r="S25" s="1653">
        <f t="shared" ref="S25:S40" si="5">IF(K25&lt;=0,0,"F20.4,c040&lt;=0")</f>
        <v>0</v>
      </c>
      <c r="T25" s="1832">
        <f t="shared" si="3"/>
        <v>0</v>
      </c>
    </row>
    <row r="26" spans="1:20">
      <c r="A26" s="1156" t="str">
        <f t="shared" si="1"/>
        <v>F-20.04_100</v>
      </c>
      <c r="B26" s="767">
        <v>100</v>
      </c>
      <c r="C26" s="768" t="s">
        <v>100</v>
      </c>
      <c r="D26" s="82" t="s">
        <v>1714</v>
      </c>
      <c r="E26" s="931"/>
      <c r="F26" s="931"/>
      <c r="G26" s="931"/>
      <c r="H26" s="931"/>
      <c r="I26" s="931"/>
      <c r="J26" s="1380"/>
      <c r="K26" s="1380"/>
      <c r="L26" s="1653">
        <f>IF($E$26&gt;=$H$26,0,"C10&gt;=c22")</f>
        <v>0</v>
      </c>
      <c r="M26" s="1653">
        <f>IF($H$24&gt;=SUM($H$25:$H$29),0,"c22(r80&gt;=sum(r90-130))")</f>
        <v>0</v>
      </c>
      <c r="N26" s="1653">
        <f>IF($E$25&gt;=0,0,"F20.4,c10&gt;=0")</f>
        <v>0</v>
      </c>
      <c r="O26" s="1653">
        <f>IF($I$26&lt;=$E$26,0,"c25&lt;=c10")</f>
        <v>0</v>
      </c>
      <c r="P26" s="1653">
        <f>IF($F$26&gt;=0,0,"F20.4,c11&gt;=0")</f>
        <v>0</v>
      </c>
      <c r="Q26" s="1653">
        <f>IF($G$26&gt;=0,0,"F20.4,c12&gt;=0")</f>
        <v>0</v>
      </c>
      <c r="R26" s="1653">
        <f t="shared" si="4"/>
        <v>0</v>
      </c>
      <c r="S26" s="1653">
        <f t="shared" si="5"/>
        <v>0</v>
      </c>
      <c r="T26" s="1832">
        <f t="shared" si="3"/>
        <v>0</v>
      </c>
    </row>
    <row r="27" spans="1:20">
      <c r="A27" s="1156" t="str">
        <f t="shared" si="1"/>
        <v>F-20.04_110</v>
      </c>
      <c r="B27" s="767">
        <v>110</v>
      </c>
      <c r="C27" s="768" t="s">
        <v>101</v>
      </c>
      <c r="D27" s="82" t="s">
        <v>1709</v>
      </c>
      <c r="E27" s="932"/>
      <c r="F27" s="932"/>
      <c r="G27" s="932"/>
      <c r="H27" s="931"/>
      <c r="I27" s="931"/>
      <c r="J27" s="1380"/>
      <c r="K27" s="1380"/>
      <c r="L27" s="1653">
        <f>IF($E$27&gt;=$H$27,0,"C10&gt;=c22")</f>
        <v>0</v>
      </c>
      <c r="N27" s="1653">
        <f>IF($E$26&gt;=0,0,"F20.4,c10&gt;=0")</f>
        <v>0</v>
      </c>
      <c r="O27" s="1653">
        <f>IF($I$27&lt;=$E$27,0,"c25&lt;=c10")</f>
        <v>0</v>
      </c>
      <c r="P27" s="1653">
        <f>IF($F$27&gt;=0,0,"F20.4,c11&gt;=0")</f>
        <v>0</v>
      </c>
      <c r="Q27" s="1653">
        <f>IF($G$27&gt;=0,0,"F20.4,c12&gt;=0")</f>
        <v>0</v>
      </c>
      <c r="R27" s="1653">
        <f t="shared" si="4"/>
        <v>0</v>
      </c>
      <c r="S27" s="1653">
        <f t="shared" si="5"/>
        <v>0</v>
      </c>
      <c r="T27" s="1832">
        <f t="shared" si="3"/>
        <v>0</v>
      </c>
    </row>
    <row r="28" spans="1:20">
      <c r="A28" s="1156" t="str">
        <f t="shared" si="1"/>
        <v>F-20.04_120</v>
      </c>
      <c r="B28" s="767">
        <v>120</v>
      </c>
      <c r="C28" s="768" t="s">
        <v>102</v>
      </c>
      <c r="D28" s="82" t="s">
        <v>1710</v>
      </c>
      <c r="E28" s="932"/>
      <c r="F28" s="932"/>
      <c r="G28" s="932"/>
      <c r="H28" s="931"/>
      <c r="I28" s="931"/>
      <c r="J28" s="1380"/>
      <c r="K28" s="1380"/>
      <c r="L28" s="1653">
        <f>IF($E$28&gt;=$H$28,0,"C10&gt;=c22")</f>
        <v>0</v>
      </c>
      <c r="M28" s="1653">
        <f>IF($I$24&gt;=SUM($I$25:$I$29),0,"c25(r80&gt;=sum(r90-130))")</f>
        <v>0</v>
      </c>
      <c r="N28" s="1653">
        <f>IF($E$27&gt;=0,0,"F20.4,c10&gt;=0")</f>
        <v>0</v>
      </c>
      <c r="O28" s="1653">
        <f>IF($I$28&lt;=$E$28,0,"c25&lt;=c10")</f>
        <v>0</v>
      </c>
      <c r="P28" s="1653">
        <f>IF($F$28&gt;=0,0,"F20.4,c11&gt;=0")</f>
        <v>0</v>
      </c>
      <c r="Q28" s="1653">
        <f>IF($G$28&gt;=0,0,"F20.4,c12&gt;=0")</f>
        <v>0</v>
      </c>
      <c r="R28" s="1653">
        <f t="shared" si="4"/>
        <v>0</v>
      </c>
      <c r="S28" s="1653">
        <f t="shared" si="5"/>
        <v>0</v>
      </c>
      <c r="T28" s="1832">
        <f t="shared" si="3"/>
        <v>0</v>
      </c>
    </row>
    <row r="29" spans="1:20">
      <c r="A29" s="1156" t="str">
        <f t="shared" si="1"/>
        <v>F-20.04_130</v>
      </c>
      <c r="B29" s="767">
        <v>130</v>
      </c>
      <c r="C29" s="768" t="s">
        <v>704</v>
      </c>
      <c r="D29" s="69" t="s">
        <v>1711</v>
      </c>
      <c r="E29" s="932"/>
      <c r="F29" s="932"/>
      <c r="G29" s="932"/>
      <c r="H29" s="931"/>
      <c r="I29" s="931"/>
      <c r="J29" s="1380"/>
      <c r="K29" s="1380"/>
      <c r="L29" s="1653">
        <f>IF($E$29&gt;=$H$29,0,"C10&gt;=c22")</f>
        <v>0</v>
      </c>
      <c r="N29" s="1653">
        <f>IF($E$28&gt;=0,0,"F20.4,c10&gt;=0")</f>
        <v>0</v>
      </c>
      <c r="O29" s="1653">
        <f>IF($I$29&lt;=$E$29,0,"c25&lt;=c10")</f>
        <v>0</v>
      </c>
      <c r="P29" s="1653">
        <f>IF($F$29&gt;=0,0,"F20.4,c11&gt;=0")</f>
        <v>0</v>
      </c>
      <c r="Q29" s="1653">
        <f>IF($G$29&gt;=0,0,"F20.4,c12&gt;=0")</f>
        <v>0</v>
      </c>
      <c r="R29" s="1653">
        <f t="shared" si="4"/>
        <v>0</v>
      </c>
      <c r="S29" s="1653">
        <f t="shared" si="5"/>
        <v>0</v>
      </c>
      <c r="T29" s="1832">
        <f t="shared" si="3"/>
        <v>0</v>
      </c>
    </row>
    <row r="30" spans="1:20">
      <c r="A30" s="1156" t="str">
        <f t="shared" si="1"/>
        <v>F-20.04_140</v>
      </c>
      <c r="B30" s="767">
        <v>140</v>
      </c>
      <c r="C30" s="763" t="s">
        <v>61</v>
      </c>
      <c r="D30" s="14" t="s">
        <v>1715</v>
      </c>
      <c r="E30" s="957">
        <f>SUM($E$31+$E$32+$E$33+$E$34+$E$35+$E$38)</f>
        <v>0</v>
      </c>
      <c r="F30" s="957">
        <f>SUM($F$31+$F$32+$F$33+$F$34+$F$35+$F$38)</f>
        <v>0</v>
      </c>
      <c r="G30" s="957">
        <f>SUM($G$31+$G$32+$G$33+$G$34+$G$35+$G$38)</f>
        <v>0</v>
      </c>
      <c r="H30" s="957">
        <f>SUM($H$31+$H$32+$H$33+$H$34+$H$35+$H$38)</f>
        <v>0</v>
      </c>
      <c r="I30" s="957">
        <f>SUM(I$31+I$32+I$33+I$34+I$35+I$38)</f>
        <v>0</v>
      </c>
      <c r="J30" s="1785">
        <f>SUM(J$31+J$32+J$33+J$34+J$35+J$38)</f>
        <v>0</v>
      </c>
      <c r="K30" s="1785">
        <f>SUM(K$31+K$32+K$33+K$34+K$35+K$38)</f>
        <v>0</v>
      </c>
      <c r="L30" s="1653">
        <f>IF($E$30&gt;=$H$30,0,"C10&gt;=c22")</f>
        <v>0</v>
      </c>
      <c r="N30" s="1653">
        <f>IF($E$29&gt;=0,0,"F20.4,c10&gt;=0")</f>
        <v>0</v>
      </c>
      <c r="O30" s="1653">
        <f>IF($I$30&lt;=$E$30,0,"c25&lt;=c10")</f>
        <v>0</v>
      </c>
      <c r="P30" s="1653">
        <f>IF($F$30&gt;=0,0,"F20.4,c11&gt;=0")</f>
        <v>0</v>
      </c>
      <c r="Q30" s="1653">
        <f>IF($G$30&gt;=0,0,"F20.4,c12&gt;=0")</f>
        <v>0</v>
      </c>
      <c r="R30" s="1653">
        <f t="shared" si="4"/>
        <v>0</v>
      </c>
      <c r="S30" s="1653">
        <f t="shared" si="5"/>
        <v>0</v>
      </c>
      <c r="T30" s="1832">
        <f t="shared" si="3"/>
        <v>0</v>
      </c>
    </row>
    <row r="31" spans="1:20">
      <c r="A31" s="1156" t="str">
        <f t="shared" si="1"/>
        <v>F-20.04_150</v>
      </c>
      <c r="B31" s="767">
        <v>150</v>
      </c>
      <c r="C31" s="768" t="s">
        <v>99</v>
      </c>
      <c r="D31" s="82" t="s">
        <v>1713</v>
      </c>
      <c r="E31" s="932"/>
      <c r="F31" s="932"/>
      <c r="G31" s="932"/>
      <c r="H31" s="931"/>
      <c r="I31" s="931"/>
      <c r="J31" s="1380"/>
      <c r="K31" s="1380"/>
      <c r="L31" s="1653">
        <f>IF($E$31&gt;=$H$31,0,"C10&gt;=c22")</f>
        <v>0</v>
      </c>
      <c r="N31" s="1653">
        <f>IF($E$30&gt;=0,0,"F20.4,c10&gt;=0")</f>
        <v>0</v>
      </c>
      <c r="O31" s="1653">
        <f>IF($I$31&lt;=$E$31,0,"c25&lt;=c10")</f>
        <v>0</v>
      </c>
      <c r="P31" s="1653">
        <f>IF($F$31&gt;=0,0,"F20.4,c11&gt;=0")</f>
        <v>0</v>
      </c>
      <c r="Q31" s="1653">
        <f>IF($G$31&gt;=0,0,"F20.4,c12&gt;=0")</f>
        <v>0</v>
      </c>
      <c r="R31" s="1653">
        <f t="shared" si="4"/>
        <v>0</v>
      </c>
      <c r="S31" s="1653">
        <f t="shared" si="5"/>
        <v>0</v>
      </c>
      <c r="T31" s="1832">
        <f t="shared" si="3"/>
        <v>0</v>
      </c>
    </row>
    <row r="32" spans="1:20">
      <c r="A32" s="1156" t="str">
        <f t="shared" si="1"/>
        <v>F-20.04_160</v>
      </c>
      <c r="B32" s="767">
        <v>160</v>
      </c>
      <c r="C32" s="768" t="s">
        <v>100</v>
      </c>
      <c r="D32" s="82" t="s">
        <v>1714</v>
      </c>
      <c r="E32" s="932"/>
      <c r="F32" s="932"/>
      <c r="G32" s="932"/>
      <c r="H32" s="931"/>
      <c r="I32" s="931"/>
      <c r="J32" s="1380"/>
      <c r="K32" s="1380"/>
      <c r="L32" s="1653">
        <f>IF($E$32&gt;=$H$32,0,"C10&gt;=c22")</f>
        <v>0</v>
      </c>
      <c r="N32" s="1653">
        <f>IF($E$31&gt;=0,0,"F20.4,c10&gt;=0")</f>
        <v>0</v>
      </c>
      <c r="O32" s="1653">
        <f>IF($I$32&lt;=$E$32,0,"c25&lt;=c10")</f>
        <v>0</v>
      </c>
      <c r="P32" s="1653">
        <f>IF($F$32&gt;=0,0,"F20.4,c11&gt;=0")</f>
        <v>0</v>
      </c>
      <c r="Q32" s="1653">
        <f>IF($G$32&gt;=0,0,"F20.4,c12&gt;=0")</f>
        <v>0</v>
      </c>
      <c r="R32" s="1653">
        <f t="shared" si="4"/>
        <v>0</v>
      </c>
      <c r="S32" s="1653">
        <f t="shared" si="5"/>
        <v>0</v>
      </c>
      <c r="T32" s="1832">
        <f t="shared" si="3"/>
        <v>0</v>
      </c>
    </row>
    <row r="33" spans="1:20">
      <c r="A33" s="1156" t="str">
        <f t="shared" si="1"/>
        <v>F-20.04_170</v>
      </c>
      <c r="B33" s="767">
        <v>170</v>
      </c>
      <c r="C33" s="768" t="s">
        <v>101</v>
      </c>
      <c r="D33" s="82" t="s">
        <v>1709</v>
      </c>
      <c r="E33" s="931"/>
      <c r="F33" s="931"/>
      <c r="G33" s="931"/>
      <c r="H33" s="931"/>
      <c r="I33" s="931"/>
      <c r="J33" s="1380"/>
      <c r="K33" s="1380"/>
      <c r="L33" s="1653">
        <f>IF($E$33&gt;=$H$33,0,"C10&gt;=c22")</f>
        <v>0</v>
      </c>
      <c r="N33" s="1653">
        <f>IF($E$32&gt;=0,0,"F20.4,c10&gt;=0")</f>
        <v>0</v>
      </c>
      <c r="O33" s="1653">
        <f>IF($I$33&lt;=$E$33,0,"c25&lt;=c10")</f>
        <v>0</v>
      </c>
      <c r="P33" s="1653">
        <f>IF($F$33&gt;=0,0,"F20.4,c11&gt;=0")</f>
        <v>0</v>
      </c>
      <c r="Q33" s="1653">
        <f>IF($G$33&gt;=0,0,"F20.4,c12&gt;=0")</f>
        <v>0</v>
      </c>
      <c r="R33" s="1653">
        <f t="shared" si="4"/>
        <v>0</v>
      </c>
      <c r="S33" s="1653">
        <f t="shared" si="5"/>
        <v>0</v>
      </c>
      <c r="T33" s="1832">
        <f t="shared" si="3"/>
        <v>0</v>
      </c>
    </row>
    <row r="34" spans="1:20">
      <c r="A34" s="1156" t="str">
        <f t="shared" si="1"/>
        <v>F-20.04_180</v>
      </c>
      <c r="B34" s="767">
        <v>180</v>
      </c>
      <c r="C34" s="768" t="s">
        <v>102</v>
      </c>
      <c r="D34" s="82" t="s">
        <v>1710</v>
      </c>
      <c r="E34" s="932"/>
      <c r="F34" s="932"/>
      <c r="G34" s="932"/>
      <c r="H34" s="931"/>
      <c r="I34" s="931"/>
      <c r="J34" s="1380"/>
      <c r="K34" s="1380"/>
      <c r="L34" s="1653">
        <f>IF($E$34&gt;=$H$34,0,"C10&gt;=c22")</f>
        <v>0</v>
      </c>
      <c r="N34" s="1653">
        <f>IF($E$33&gt;=0,0,"F20.4,c10&gt;=0")</f>
        <v>0</v>
      </c>
      <c r="O34" s="1653">
        <f>IF($I$34&lt;=$E$34,0,"c25&lt;=c10")</f>
        <v>0</v>
      </c>
      <c r="P34" s="1653">
        <f>IF($F$34&gt;=0,0,"F20.4,c11&gt;=0")</f>
        <v>0</v>
      </c>
      <c r="Q34" s="1653">
        <f>IF($G$34&gt;=0,0,"F20.4,c12&gt;=0")</f>
        <v>0</v>
      </c>
      <c r="R34" s="1653">
        <f t="shared" si="4"/>
        <v>0</v>
      </c>
      <c r="S34" s="1653">
        <f t="shared" si="5"/>
        <v>0</v>
      </c>
      <c r="T34" s="1832">
        <f t="shared" si="3"/>
        <v>0</v>
      </c>
    </row>
    <row r="35" spans="1:20">
      <c r="A35" s="1156" t="str">
        <f t="shared" si="1"/>
        <v>F-20.04_190</v>
      </c>
      <c r="B35" s="767">
        <v>190</v>
      </c>
      <c r="C35" s="768" t="s">
        <v>704</v>
      </c>
      <c r="D35" s="82" t="s">
        <v>1711</v>
      </c>
      <c r="E35" s="932"/>
      <c r="F35" s="932"/>
      <c r="G35" s="932"/>
      <c r="H35" s="931"/>
      <c r="I35" s="931"/>
      <c r="J35" s="1380"/>
      <c r="K35" s="1380"/>
      <c r="L35" s="1653">
        <f>IF($E$35&gt;=$H$35,0,"C10&gt;=c22")</f>
        <v>0</v>
      </c>
      <c r="N35" s="1653">
        <f>IF($E$34&gt;=0,0,"F20.4,c10&gt;=0")</f>
        <v>0</v>
      </c>
      <c r="O35" s="1653">
        <f>IF($I$35&lt;=$E$35,0,"c25&lt;=c10")</f>
        <v>0</v>
      </c>
      <c r="P35" s="1653">
        <f>IF($F$35&gt;=0,0,"F20.4,c11&gt;=0")</f>
        <v>0</v>
      </c>
      <c r="Q35" s="1653">
        <f>IF($G$35&gt;=0,0,"F20.4,c12&gt;=0")</f>
        <v>0</v>
      </c>
      <c r="R35" s="1653">
        <f t="shared" si="4"/>
        <v>0</v>
      </c>
      <c r="S35" s="1653">
        <f t="shared" si="5"/>
        <v>0</v>
      </c>
      <c r="T35" s="1832">
        <f t="shared" si="3"/>
        <v>0</v>
      </c>
    </row>
    <row r="36" spans="1:20">
      <c r="A36" s="1156" t="str">
        <f t="shared" si="1"/>
        <v>F-20.04_200</v>
      </c>
      <c r="B36" s="767">
        <v>200</v>
      </c>
      <c r="C36" s="769" t="s">
        <v>432</v>
      </c>
      <c r="D36" s="1511" t="s">
        <v>605</v>
      </c>
      <c r="E36" s="932"/>
      <c r="F36" s="932"/>
      <c r="G36" s="932"/>
      <c r="H36" s="931"/>
      <c r="I36" s="931"/>
      <c r="J36" s="1380"/>
      <c r="K36" s="1380"/>
      <c r="L36" s="1653">
        <f>IF($E$36&gt;=$H$36,0,"C10&gt;=c22")</f>
        <v>0</v>
      </c>
      <c r="N36" s="1653">
        <f>IF($E$35&gt;=0,0,"F20.4,c10&gt;=0")</f>
        <v>0</v>
      </c>
      <c r="O36" s="1653">
        <f>IF($I$36&lt;=$E$36,0,"c25&lt;=c10")</f>
        <v>0</v>
      </c>
      <c r="P36" s="1653">
        <f>IF($F$36&gt;=0,0,"F20.4,c11&gt;=0")</f>
        <v>0</v>
      </c>
      <c r="Q36" s="1653">
        <f>IF($G$36&gt;=0,0,"F20.4,c12&gt;=0")</f>
        <v>0</v>
      </c>
      <c r="R36" s="1653">
        <f t="shared" si="4"/>
        <v>0</v>
      </c>
      <c r="S36" s="1653">
        <f t="shared" si="5"/>
        <v>0</v>
      </c>
      <c r="T36" s="1832">
        <f t="shared" si="3"/>
        <v>0</v>
      </c>
    </row>
    <row r="37" spans="1:20">
      <c r="A37" s="1156" t="str">
        <f t="shared" si="1"/>
        <v>F-20.04_210</v>
      </c>
      <c r="B37" s="767">
        <v>210</v>
      </c>
      <c r="C37" s="769" t="s">
        <v>692</v>
      </c>
      <c r="D37" s="1512" t="s">
        <v>1716</v>
      </c>
      <c r="E37" s="932"/>
      <c r="F37" s="932"/>
      <c r="G37" s="932"/>
      <c r="H37" s="931"/>
      <c r="I37" s="931"/>
      <c r="J37" s="1380"/>
      <c r="K37" s="1380"/>
      <c r="L37" s="1653">
        <f>IF($E$37&gt;=$H$37,0,"C10&gt;=c22")</f>
        <v>0</v>
      </c>
      <c r="N37" s="1653">
        <f>IF($E$36&gt;=0,0,"F20.4,c10&gt;=0")</f>
        <v>0</v>
      </c>
      <c r="O37" s="1653">
        <f>IF($I$37&lt;=$E$37,0,"c25&lt;=c10")</f>
        <v>0</v>
      </c>
      <c r="P37" s="1653">
        <f>IF($F$37&gt;=0,0,"F20.4,c11&gt;=0")</f>
        <v>0</v>
      </c>
      <c r="Q37" s="1653">
        <f>IF($G$37&gt;=0,0,"F20.4,c12&gt;=0")</f>
        <v>0</v>
      </c>
      <c r="R37" s="1653">
        <f t="shared" si="4"/>
        <v>0</v>
      </c>
      <c r="S37" s="1653">
        <f t="shared" si="5"/>
        <v>0</v>
      </c>
      <c r="T37" s="1832">
        <f t="shared" si="3"/>
        <v>0</v>
      </c>
    </row>
    <row r="38" spans="1:20">
      <c r="A38" s="1156" t="str">
        <f t="shared" si="1"/>
        <v>F-20.04_220</v>
      </c>
      <c r="B38" s="767">
        <v>220</v>
      </c>
      <c r="C38" s="768" t="s">
        <v>128</v>
      </c>
      <c r="D38" s="1513" t="s">
        <v>1717</v>
      </c>
      <c r="E38" s="932"/>
      <c r="F38" s="932"/>
      <c r="G38" s="932"/>
      <c r="H38" s="931"/>
      <c r="I38" s="931"/>
      <c r="J38" s="1380"/>
      <c r="K38" s="1380"/>
      <c r="L38" s="1653">
        <f>IF($E$38&gt;=$H$38,0,"C10&gt;=c22")</f>
        <v>0</v>
      </c>
      <c r="N38" s="1653">
        <f>IF($E$37&gt;=0,0,"F20.4,c10&gt;=0")</f>
        <v>0</v>
      </c>
      <c r="O38" s="1653">
        <f>IF($I$38&lt;=$E$38,0,"c25&lt;=c10")</f>
        <v>0</v>
      </c>
      <c r="P38" s="1653">
        <f>IF($F$38&gt;=0,0,"F20.4,c11&gt;=0")</f>
        <v>0</v>
      </c>
      <c r="Q38" s="1653">
        <f>IF($G$38&gt;=0,0,"F20.4,c12&gt;=0")</f>
        <v>0</v>
      </c>
      <c r="R38" s="1653">
        <f t="shared" si="4"/>
        <v>0</v>
      </c>
      <c r="S38" s="1653">
        <f t="shared" si="5"/>
        <v>0</v>
      </c>
      <c r="T38" s="1832">
        <f t="shared" si="3"/>
        <v>0</v>
      </c>
    </row>
    <row r="39" spans="1:20">
      <c r="A39" s="1156" t="str">
        <f t="shared" si="1"/>
        <v>F-20.04_230</v>
      </c>
      <c r="B39" s="767">
        <v>230</v>
      </c>
      <c r="C39" s="769" t="s">
        <v>1546</v>
      </c>
      <c r="D39" s="80" t="s">
        <v>1716</v>
      </c>
      <c r="E39" s="932"/>
      <c r="F39" s="932"/>
      <c r="G39" s="932"/>
      <c r="H39" s="931"/>
      <c r="I39" s="931"/>
      <c r="J39" s="1380"/>
      <c r="K39" s="1380"/>
      <c r="L39" s="1653">
        <f>IF($E$39&gt;=$H$39,0,"C10&gt;=c22")</f>
        <v>0</v>
      </c>
      <c r="N39" s="1653">
        <f>IF($E$38&gt;=0,0,"F20.4,c10&gt;=0")</f>
        <v>0</v>
      </c>
      <c r="O39" s="1653">
        <f>IF($I$39&lt;=$E$39,0,"c25&lt;=c10")</f>
        <v>0</v>
      </c>
      <c r="P39" s="1653">
        <f>IF($F$39&gt;=0,0,"F20.4,c11&gt;=0")</f>
        <v>0</v>
      </c>
      <c r="Q39" s="1653">
        <f>IF($G$39&gt;=0,0,"F20.4,c12&gt;=0")</f>
        <v>0</v>
      </c>
      <c r="R39" s="1653">
        <f t="shared" si="4"/>
        <v>0</v>
      </c>
      <c r="S39" s="1653">
        <f t="shared" si="5"/>
        <v>0</v>
      </c>
      <c r="T39" s="1832">
        <f t="shared" si="3"/>
        <v>0</v>
      </c>
    </row>
    <row r="40" spans="1:20">
      <c r="A40" s="1156" t="str">
        <f t="shared" si="1"/>
        <v>F-20.04_240</v>
      </c>
      <c r="B40" s="770">
        <v>240</v>
      </c>
      <c r="C40" s="771" t="s">
        <v>433</v>
      </c>
      <c r="D40" s="1514" t="s">
        <v>1718</v>
      </c>
      <c r="E40" s="936"/>
      <c r="F40" s="936"/>
      <c r="G40" s="936"/>
      <c r="H40" s="1466"/>
      <c r="I40" s="1466"/>
      <c r="J40" s="1784"/>
      <c r="K40" s="1784"/>
      <c r="L40" s="1653">
        <f>IF($E$40&gt;=$H$40,0,"C10&gt;=c22")</f>
        <v>0</v>
      </c>
      <c r="N40" s="1653">
        <f>IF($E$39&gt;=0,0,"F20.4,c10&gt;=0")</f>
        <v>0</v>
      </c>
      <c r="O40" s="1653">
        <f>IF($I$40&lt;=$E$40,0,"c25&lt;=c10")</f>
        <v>0</v>
      </c>
      <c r="P40" s="1653">
        <f>IF($F$40&gt;=0,0,"F20.4,c11&gt;=0")</f>
        <v>0</v>
      </c>
      <c r="Q40" s="1653">
        <f>IF($G$40&gt;=0,0,"F20.4,c12&gt;=0")</f>
        <v>0</v>
      </c>
      <c r="R40" s="1653">
        <f t="shared" si="4"/>
        <v>0</v>
      </c>
      <c r="S40" s="1653">
        <f t="shared" si="5"/>
        <v>0</v>
      </c>
      <c r="T40" s="1832">
        <f t="shared" si="3"/>
        <v>0</v>
      </c>
    </row>
    <row r="41" spans="1:20" s="660" customFormat="1">
      <c r="A41" s="1100" t="s">
        <v>718</v>
      </c>
      <c r="E41" s="1653">
        <f>IF($E$35&gt;=$E$36,0,"R190&gt;=R200")</f>
        <v>0</v>
      </c>
      <c r="F41" s="1653">
        <f>IF($F$35&gt;=$F$36,0,"R190&gt;=R200")</f>
        <v>0</v>
      </c>
      <c r="G41" s="1653">
        <f>IF($G$35&gt;=$G$36,0,"R190&gt;=R200")</f>
        <v>0</v>
      </c>
      <c r="H41" s="1653">
        <f>IF($H$35&gt;=$H$36,0,"R190&gt;=R200")</f>
        <v>0</v>
      </c>
      <c r="I41" s="1653">
        <f>IF($I$35&gt;=$I$36,0,"R190&gt;=R200")</f>
        <v>0</v>
      </c>
      <c r="J41" s="1653">
        <f>IF($J$35&lt;=$J$36,0,"R190&lt;=R200")</f>
        <v>0</v>
      </c>
      <c r="K41" s="1653">
        <f>IF($K$35&lt;=$K$36,0,"R190&lt;=R200")</f>
        <v>0</v>
      </c>
      <c r="N41" s="1653">
        <f>IF($E$40&gt;=0,0,"F20.4,c10&gt;=0")</f>
        <v>0</v>
      </c>
    </row>
    <row r="42" spans="1:20" s="792" customFormat="1">
      <c r="A42" s="1100" t="s">
        <v>718</v>
      </c>
      <c r="B42" s="772"/>
      <c r="C42" s="773"/>
      <c r="D42" s="774"/>
      <c r="E42" s="1653">
        <f>IF($E$38&gt;=$E$39,0,"r220&gt;=r230")</f>
        <v>0</v>
      </c>
      <c r="F42" s="1653"/>
      <c r="G42" s="1653"/>
      <c r="H42" s="1653">
        <f>IF($H$38&gt;=$H$39,0,"r220&gt;=r230")</f>
        <v>0</v>
      </c>
      <c r="I42" s="1653">
        <f>IF($I$38&gt;=$I$39,0,"r220&gt;=r230")</f>
        <v>0</v>
      </c>
    </row>
    <row r="43" spans="1:20" s="792" customFormat="1">
      <c r="A43" s="1100" t="s">
        <v>718</v>
      </c>
      <c r="B43" s="711"/>
      <c r="C43" s="711"/>
      <c r="D43" s="774"/>
      <c r="E43" s="1653">
        <f>IF($E$35&gt;=$E$37,0,"r190&gt;=r210")</f>
        <v>0</v>
      </c>
      <c r="F43" s="1653"/>
      <c r="G43" s="1653"/>
      <c r="H43" s="1653">
        <f>IF($H$35&gt;=$H$37,0,"r190&gt;=r210")</f>
        <v>0</v>
      </c>
      <c r="I43" s="1653">
        <f>IF($I$35&gt;=$I$37,0,"r190&gt;=r210")</f>
        <v>0</v>
      </c>
    </row>
    <row r="44" spans="1:20" s="792" customFormat="1">
      <c r="A44" s="1100" t="s">
        <v>718</v>
      </c>
      <c r="B44" s="711"/>
      <c r="D44" s="774"/>
      <c r="E44" s="1653">
        <f>IF($E$38&gt;=$E$40,0,"r220&gt;=r240")</f>
        <v>0</v>
      </c>
      <c r="F44" s="1653"/>
      <c r="G44" s="1653"/>
      <c r="H44" s="1653">
        <f>IF($H$38&gt;=$H$40,0,"r220&gt;=r240")</f>
        <v>0</v>
      </c>
      <c r="I44" s="1653">
        <f>IF($I$38&gt;=$I$40,0,"r220&gt;=r240")</f>
        <v>0</v>
      </c>
    </row>
    <row r="45" spans="1:20" s="792" customFormat="1">
      <c r="A45" s="1156" t="s">
        <v>724</v>
      </c>
      <c r="B45" s="711"/>
      <c r="D45" s="774"/>
      <c r="E45" s="1653"/>
      <c r="F45" s="1653"/>
      <c r="G45" s="1653"/>
    </row>
    <row r="46" spans="1:20" s="1097" customFormat="1" ht="18" hidden="1" customHeight="1">
      <c r="A46" s="1096" t="s">
        <v>1263</v>
      </c>
      <c r="B46" s="1118">
        <v>2</v>
      </c>
      <c r="C46" s="1118">
        <v>1</v>
      </c>
      <c r="D46" s="1119">
        <v>12</v>
      </c>
      <c r="E46" s="1182">
        <v>5</v>
      </c>
      <c r="F46" s="1120">
        <v>3</v>
      </c>
      <c r="G46" s="1121">
        <v>4</v>
      </c>
      <c r="H46" s="1122">
        <v>4</v>
      </c>
      <c r="I46" s="1122">
        <v>4</v>
      </c>
      <c r="J46" s="1123">
        <v>4</v>
      </c>
      <c r="K46" s="1123">
        <v>5</v>
      </c>
      <c r="L46" s="1124">
        <v>4</v>
      </c>
      <c r="M46" s="1124">
        <v>6</v>
      </c>
      <c r="N46" s="1125">
        <v>4</v>
      </c>
      <c r="O46" s="1125">
        <v>7</v>
      </c>
    </row>
    <row r="47" spans="1:20" s="1097" customFormat="1" ht="18" hidden="1" customHeight="1">
      <c r="A47" s="1096" t="str">
        <f>Index!$A$2</f>
        <v>V20181222</v>
      </c>
      <c r="B47" s="1098"/>
      <c r="C47" s="1099"/>
      <c r="D47" s="1100"/>
      <c r="E47" s="1100" t="str">
        <f>$A$46&amp;"_"&amp;E57</f>
        <v>F-20.05_010</v>
      </c>
      <c r="F47" s="1100" t="str">
        <f>$A$46&amp;"_"&amp;F57</f>
        <v>F-20.05_022</v>
      </c>
      <c r="G47" s="1100" t="str">
        <f>$A$46&amp;"_"&amp;G57</f>
        <v>F-20.05_025</v>
      </c>
      <c r="H47" s="1100" t="str">
        <f>$A$46&amp;"_"&amp;H57</f>
        <v>F-20.05_030</v>
      </c>
      <c r="I47" s="1100"/>
      <c r="J47" s="1100"/>
      <c r="K47" s="1100"/>
      <c r="L47" s="1100"/>
      <c r="M47" s="1100"/>
      <c r="N47" s="1100"/>
      <c r="O47" s="1101"/>
    </row>
    <row r="48" spans="1:20" s="1097" customFormat="1" ht="18" hidden="1" customHeight="1">
      <c r="A48" s="1096" t="str">
        <f>"R:A1:P"&amp;ROW(A174)+1</f>
        <v>R:A1:P175</v>
      </c>
      <c r="B48" s="1102"/>
      <c r="C48" s="1103"/>
      <c r="D48" s="1104"/>
      <c r="E48" s="1105"/>
      <c r="F48" s="1106"/>
      <c r="G48" s="1107"/>
      <c r="H48" s="1107"/>
      <c r="I48" s="1107"/>
      <c r="J48" s="1107"/>
      <c r="K48" s="1107"/>
      <c r="L48" s="1107"/>
    </row>
    <row r="49" spans="1:15" s="1097" customFormat="1" ht="18" hidden="1" customHeight="1">
      <c r="A49" s="1096"/>
      <c r="B49" s="1102"/>
      <c r="C49" s="1103"/>
      <c r="D49" s="1108"/>
      <c r="E49" s="1109"/>
      <c r="F49" s="1110" t="str">
        <f>$D$9</f>
        <v>x1</v>
      </c>
      <c r="G49" s="1111">
        <f>O50</f>
        <v>0</v>
      </c>
      <c r="H49" s="1107"/>
      <c r="I49" s="1107"/>
      <c r="J49" s="1107"/>
      <c r="K49" s="1107"/>
      <c r="L49" s="1107"/>
    </row>
    <row r="50" spans="1:15" s="1097" customFormat="1" ht="18" hidden="1" customHeight="1">
      <c r="A50" s="1096"/>
      <c r="B50" s="1102"/>
      <c r="C50" s="1103"/>
      <c r="D50" s="1112"/>
      <c r="E50" s="1113"/>
      <c r="F50" s="1114"/>
      <c r="O50" s="1097">
        <f>COUNTIF(I58:M60,"&lt;&gt;0")-COUNTBLANK(I58:M60)+COUNTIF(E61:H61,"&lt;&gt;0")-COUNTBLANK(E61:H61)</f>
        <v>0</v>
      </c>
    </row>
    <row r="51" spans="1:15" s="1116" customFormat="1">
      <c r="A51" s="1100" t="s">
        <v>718</v>
      </c>
      <c r="B51" s="1115"/>
    </row>
    <row r="52" spans="1:15" s="792" customFormat="1">
      <c r="A52" s="1100" t="s">
        <v>718</v>
      </c>
      <c r="B52" s="711" t="s">
        <v>584</v>
      </c>
      <c r="C52" s="711"/>
      <c r="E52" s="1116"/>
      <c r="F52" s="1116"/>
      <c r="G52" s="1116"/>
    </row>
    <row r="53" spans="1:15">
      <c r="A53" s="1100" t="s">
        <v>718</v>
      </c>
      <c r="B53" s="750"/>
      <c r="C53" s="776"/>
      <c r="D53" s="775"/>
      <c r="E53" s="849"/>
      <c r="F53" s="849"/>
      <c r="G53" s="849"/>
    </row>
    <row r="54" spans="1:15" ht="15.75" customHeight="1">
      <c r="A54" s="1100" t="s">
        <v>718</v>
      </c>
      <c r="B54" s="795"/>
      <c r="C54" s="753"/>
      <c r="D54" s="2110" t="s">
        <v>551</v>
      </c>
      <c r="E54" s="2116" t="s">
        <v>422</v>
      </c>
      <c r="F54" s="1521"/>
      <c r="G54" s="1523"/>
      <c r="H54" s="2115" t="s">
        <v>409</v>
      </c>
    </row>
    <row r="55" spans="1:15" ht="40.5" customHeight="1">
      <c r="A55" s="1100"/>
      <c r="B55" s="800"/>
      <c r="C55" s="716"/>
      <c r="D55" s="2111"/>
      <c r="E55" s="2117"/>
      <c r="F55" s="754" t="s">
        <v>698</v>
      </c>
      <c r="G55" s="754" t="s">
        <v>694</v>
      </c>
      <c r="H55" s="2114"/>
    </row>
    <row r="56" spans="1:15" ht="21">
      <c r="A56" s="1100" t="s">
        <v>718</v>
      </c>
      <c r="B56" s="800"/>
      <c r="C56" s="716"/>
      <c r="D56" s="2111"/>
      <c r="E56" s="399" t="s">
        <v>1732</v>
      </c>
      <c r="F56" s="584" t="s">
        <v>1733</v>
      </c>
      <c r="G56" s="584" t="s">
        <v>1725</v>
      </c>
      <c r="H56" s="1518" t="s">
        <v>1734</v>
      </c>
    </row>
    <row r="57" spans="1:15">
      <c r="A57" s="1100" t="s">
        <v>718</v>
      </c>
      <c r="B57" s="802"/>
      <c r="C57" s="719"/>
      <c r="D57" s="2112"/>
      <c r="E57" s="453" t="s">
        <v>292</v>
      </c>
      <c r="F57" s="1517" t="s">
        <v>699</v>
      </c>
      <c r="G57" s="1517" t="s">
        <v>700</v>
      </c>
      <c r="H57" s="1517" t="s">
        <v>294</v>
      </c>
    </row>
    <row r="58" spans="1:15" s="792" customFormat="1" ht="21">
      <c r="A58" s="1156" t="str">
        <f>$A$46&amp;"_"&amp;B58</f>
        <v>F-20.05_010</v>
      </c>
      <c r="B58" s="778" t="s">
        <v>292</v>
      </c>
      <c r="C58" s="779" t="s">
        <v>133</v>
      </c>
      <c r="D58" s="275" t="s">
        <v>1729</v>
      </c>
      <c r="E58" s="934"/>
      <c r="F58" s="934"/>
      <c r="G58" s="934"/>
      <c r="H58" s="934"/>
      <c r="I58" s="815">
        <f>IF($E$58&gt;=0,0,"R10,C10&gt;=0")</f>
        <v>0</v>
      </c>
      <c r="J58" s="815">
        <f>IF($G$58&gt;=0,0,"R10,C25&gt;=0")</f>
        <v>0</v>
      </c>
      <c r="K58" s="815"/>
      <c r="L58" s="815">
        <f>IF($H$58&gt;=0,0,"R10,C30&gt;=0")</f>
        <v>0</v>
      </c>
      <c r="M58" s="815">
        <f>IF($E$58&gt;=$G$58,0,"C10&gt;=C25")</f>
        <v>0</v>
      </c>
    </row>
    <row r="59" spans="1:15" s="792" customFormat="1" ht="31.5">
      <c r="A59" s="1156" t="str">
        <f>$A$46&amp;"_"&amp;B59</f>
        <v>F-20.05_020</v>
      </c>
      <c r="B59" s="780" t="s">
        <v>293</v>
      </c>
      <c r="C59" s="653" t="s">
        <v>134</v>
      </c>
      <c r="D59" s="324" t="s">
        <v>1730</v>
      </c>
      <c r="E59" s="933"/>
      <c r="F59" s="781"/>
      <c r="G59" s="933"/>
      <c r="H59" s="933"/>
      <c r="I59" s="815">
        <f>IF($E$59&gt;=0,0,"R20,C10&gt;=0")</f>
        <v>0</v>
      </c>
      <c r="J59" s="815">
        <f>IF($G$59&gt;=0,0,"R20,C25&gt;=0")</f>
        <v>0</v>
      </c>
      <c r="K59" s="815"/>
      <c r="L59" s="815">
        <f>IF($H$59&gt;=0,0,"R20,C30&gt;=0")</f>
        <v>0</v>
      </c>
      <c r="M59" s="815">
        <f>IF($E$59&gt;=$G$59,0,"C10&gt;=C25")</f>
        <v>0</v>
      </c>
    </row>
    <row r="60" spans="1:15" s="792" customFormat="1" ht="21">
      <c r="A60" s="1156" t="str">
        <f>$A$46&amp;"_"&amp;B60</f>
        <v>F-20.05_030</v>
      </c>
      <c r="B60" s="782" t="s">
        <v>294</v>
      </c>
      <c r="C60" s="783" t="s">
        <v>135</v>
      </c>
      <c r="D60" s="117" t="s">
        <v>1731</v>
      </c>
      <c r="E60" s="935"/>
      <c r="F60" s="784"/>
      <c r="G60" s="935"/>
      <c r="H60" s="935"/>
      <c r="I60" s="815">
        <f>IF(E60&gt;=0,0,"R30,C10&gt;=0")</f>
        <v>0</v>
      </c>
      <c r="J60" s="815">
        <f>IF(G60&gt;=0,0,"R30,C25&gt;=0")</f>
        <v>0</v>
      </c>
      <c r="K60" s="815"/>
      <c r="L60" s="815">
        <f>IF(H60&gt;=0,0,"R30,C30&gt;=0")</f>
        <v>0</v>
      </c>
      <c r="M60" s="815">
        <f>IF($E$60&gt;=$G$60,0,"C10&gt;=C25")</f>
        <v>0</v>
      </c>
    </row>
    <row r="61" spans="1:15" s="660" customFormat="1">
      <c r="A61" s="1100" t="s">
        <v>718</v>
      </c>
      <c r="B61" s="671"/>
      <c r="C61" s="671"/>
      <c r="D61" s="671"/>
      <c r="E61" s="815">
        <f>IF($E$58&gt;=$F$58,0,"C10&gt;=C22")</f>
        <v>0</v>
      </c>
      <c r="F61" s="815">
        <f>IF($F$58&gt;=0,0,"C22&gt;=0")</f>
        <v>0</v>
      </c>
      <c r="G61" s="671"/>
    </row>
    <row r="62" spans="1:15">
      <c r="A62" s="1156" t="s">
        <v>724</v>
      </c>
    </row>
    <row r="63" spans="1:15" s="1097" customFormat="1" ht="18" hidden="1" customHeight="1">
      <c r="A63" s="1096" t="s">
        <v>1264</v>
      </c>
      <c r="B63" s="671">
        <v>2</v>
      </c>
      <c r="C63" s="671">
        <v>1</v>
      </c>
      <c r="D63" s="671">
        <v>13</v>
      </c>
      <c r="E63" s="671">
        <v>5</v>
      </c>
      <c r="F63" s="671">
        <v>3</v>
      </c>
      <c r="G63" s="671">
        <v>4</v>
      </c>
      <c r="H63" s="1122">
        <v>4</v>
      </c>
      <c r="I63" s="1122">
        <v>4</v>
      </c>
      <c r="J63" s="1123">
        <v>4</v>
      </c>
      <c r="K63" s="1123">
        <v>5</v>
      </c>
      <c r="L63" s="1124">
        <v>4</v>
      </c>
      <c r="M63" s="1124">
        <v>6</v>
      </c>
      <c r="N63" s="1125">
        <v>4</v>
      </c>
      <c r="O63" s="1125">
        <v>7</v>
      </c>
    </row>
    <row r="64" spans="1:15" s="1097" customFormat="1" ht="18" hidden="1" customHeight="1">
      <c r="A64" s="1096" t="str">
        <f>Index!$A$2</f>
        <v>V20181222</v>
      </c>
      <c r="B64" s="671"/>
      <c r="C64" s="671"/>
      <c r="D64" s="671"/>
      <c r="E64" s="671" t="str">
        <f>$A$63&amp;"_"&amp;E74</f>
        <v>F-20.06_010</v>
      </c>
      <c r="F64" s="671"/>
      <c r="G64" s="671"/>
      <c r="H64" s="1100"/>
      <c r="I64" s="1100"/>
      <c r="J64" s="1100"/>
      <c r="K64" s="1100"/>
      <c r="L64" s="1100"/>
      <c r="M64" s="1100"/>
      <c r="N64" s="1100"/>
      <c r="O64" s="1101"/>
    </row>
    <row r="65" spans="1:15" s="1097" customFormat="1" ht="18" hidden="1" customHeight="1">
      <c r="A65" s="1096" t="str">
        <f>"R:A1:P"&amp;ROW(A190)+1</f>
        <v>R:A1:P191</v>
      </c>
      <c r="B65" s="671"/>
      <c r="C65" s="671"/>
      <c r="D65" s="671"/>
      <c r="E65" s="671"/>
      <c r="F65" s="671"/>
      <c r="G65" s="671"/>
      <c r="H65" s="1107"/>
      <c r="I65" s="1107"/>
      <c r="J65" s="1107"/>
      <c r="K65" s="1107"/>
      <c r="L65" s="1107"/>
    </row>
    <row r="66" spans="1:15" s="1097" customFormat="1" ht="18" hidden="1" customHeight="1">
      <c r="A66" s="1096"/>
      <c r="B66" s="671"/>
      <c r="C66" s="671"/>
      <c r="D66" s="671"/>
      <c r="E66" s="671"/>
      <c r="F66" s="671" t="str">
        <f>$D$9</f>
        <v>x1</v>
      </c>
      <c r="G66" s="671">
        <f>O67</f>
        <v>0</v>
      </c>
      <c r="H66" s="1107"/>
      <c r="I66" s="1107"/>
      <c r="J66" s="1107"/>
      <c r="K66" s="1107"/>
      <c r="L66" s="1107"/>
    </row>
    <row r="67" spans="1:15" s="1097" customFormat="1" ht="18" hidden="1" customHeight="1">
      <c r="A67" s="1096"/>
      <c r="B67" s="671"/>
      <c r="C67" s="671"/>
      <c r="D67" s="671"/>
      <c r="E67" s="671"/>
      <c r="F67" s="671"/>
      <c r="G67" s="671"/>
      <c r="O67" s="1097">
        <f>COUNTIF(F75:H88,"&lt;&gt;0")-COUNTBLANK(F75:H88)</f>
        <v>0</v>
      </c>
    </row>
    <row r="68" spans="1:15" s="1116" customFormat="1">
      <c r="A68" s="1100" t="s">
        <v>718</v>
      </c>
      <c r="B68" s="671"/>
      <c r="C68" s="671"/>
      <c r="D68" s="671"/>
      <c r="E68" s="671"/>
      <c r="F68" s="671"/>
      <c r="G68" s="671"/>
    </row>
    <row r="69" spans="1:15">
      <c r="A69" s="1100" t="s">
        <v>718</v>
      </c>
      <c r="B69" s="711" t="s">
        <v>585</v>
      </c>
      <c r="C69" s="711"/>
    </row>
    <row r="70" spans="1:15">
      <c r="A70" s="1100" t="s">
        <v>718</v>
      </c>
      <c r="B70" s="711"/>
      <c r="C70" s="792"/>
    </row>
    <row r="71" spans="1:15">
      <c r="A71" s="1100" t="s">
        <v>718</v>
      </c>
      <c r="C71" s="709"/>
    </row>
    <row r="72" spans="1:15" ht="21">
      <c r="A72" s="1100" t="s">
        <v>718</v>
      </c>
      <c r="B72" s="795"/>
      <c r="C72" s="753"/>
      <c r="D72" s="2110" t="s">
        <v>551</v>
      </c>
      <c r="E72" s="777" t="s">
        <v>57</v>
      </c>
      <c r="F72" s="660"/>
      <c r="G72" s="660"/>
    </row>
    <row r="73" spans="1:15" ht="21">
      <c r="A73" s="1100" t="s">
        <v>718</v>
      </c>
      <c r="B73" s="800"/>
      <c r="C73" s="716"/>
      <c r="D73" s="2111"/>
      <c r="E73" s="1518" t="s">
        <v>1735</v>
      </c>
      <c r="F73" s="660"/>
      <c r="G73" s="660"/>
    </row>
    <row r="74" spans="1:15">
      <c r="A74" s="1100" t="s">
        <v>718</v>
      </c>
      <c r="B74" s="802"/>
      <c r="C74" s="719"/>
      <c r="D74" s="2112"/>
      <c r="E74" s="785" t="s">
        <v>292</v>
      </c>
      <c r="F74" s="660"/>
      <c r="G74" s="660"/>
    </row>
    <row r="75" spans="1:15" ht="57.75" customHeight="1">
      <c r="A75" s="1156" t="str">
        <f>$A$63&amp;"_"&amp;B75</f>
        <v>F-20.06_010</v>
      </c>
      <c r="B75" s="724" t="s">
        <v>292</v>
      </c>
      <c r="C75" s="720" t="s">
        <v>121</v>
      </c>
      <c r="D75" s="16" t="s">
        <v>1736</v>
      </c>
      <c r="E75" s="924"/>
      <c r="F75" s="1651">
        <f>IF($E$75&gt;=SUM($E$76:$E$77),0,"r10&gt;=sum(r20-30)")</f>
        <v>0</v>
      </c>
      <c r="G75" s="1651">
        <f>IF($E$75&gt;=0,0,"F20.6&gt;=0")</f>
        <v>0</v>
      </c>
      <c r="H75" s="1832">
        <f>IF($E$11="Y", IF(E75='20'!E61+'20'!F61+'20'!E74+'20'!F74,0,"sum({F 20.06, r010, c010, (sNNN)}) = {F 20.02, r020, c010} + {F 20.02, r020, c020} + {F 20.02, r150, c010} + {F 20.02, r150, c020}"),0)</f>
        <v>0</v>
      </c>
    </row>
    <row r="76" spans="1:15">
      <c r="A76" s="1156" t="str">
        <f t="shared" ref="A76:A87" si="6">$A$63&amp;"_"&amp;B76</f>
        <v>F-20.06_020</v>
      </c>
      <c r="B76" s="645" t="s">
        <v>293</v>
      </c>
      <c r="C76" s="786" t="s">
        <v>413</v>
      </c>
      <c r="D76" s="14" t="s">
        <v>1709</v>
      </c>
      <c r="E76" s="931"/>
      <c r="F76" s="660"/>
      <c r="G76" s="1651">
        <f>IF($E$76&gt;=0,0,"F20.6&gt;=0")</f>
        <v>0</v>
      </c>
      <c r="H76" s="792"/>
    </row>
    <row r="77" spans="1:15">
      <c r="A77" s="1156" t="str">
        <f t="shared" si="6"/>
        <v>F-20.06_030</v>
      </c>
      <c r="B77" s="645" t="s">
        <v>294</v>
      </c>
      <c r="C77" s="786" t="s">
        <v>414</v>
      </c>
      <c r="D77" s="14" t="s">
        <v>1710</v>
      </c>
      <c r="E77" s="931"/>
      <c r="F77" s="660"/>
      <c r="G77" s="1651">
        <f>IF($E$77&gt;=0,0,"F20.6&gt;=0")</f>
        <v>0</v>
      </c>
      <c r="H77" s="792"/>
    </row>
    <row r="78" spans="1:15" ht="33" customHeight="1">
      <c r="A78" s="1156" t="str">
        <f t="shared" si="6"/>
        <v>F-20.06_040</v>
      </c>
      <c r="B78" s="645" t="s">
        <v>295</v>
      </c>
      <c r="C78" s="787" t="s">
        <v>77</v>
      </c>
      <c r="D78" s="14" t="s">
        <v>1737</v>
      </c>
      <c r="E78" s="924"/>
      <c r="F78" s="1651">
        <f>IF($E$78&gt;=SUM($E$79:$E$80),0,"r40&gt;=sum(r50-60)")</f>
        <v>0</v>
      </c>
      <c r="G78" s="1651">
        <f>IF($E$78&gt;=0,0,"F20.6&gt;=0")</f>
        <v>0</v>
      </c>
      <c r="H78" s="1832">
        <f>IF($E$11="Y", IF(E78='20'!E62+'20'!F62,0,"sum({F 20.06, r040, c010, (sNNN)}) = {F 20.02, r030, c010} + {F 20.02, r030, c020}"),0)</f>
        <v>0</v>
      </c>
    </row>
    <row r="79" spans="1:15">
      <c r="A79" s="1156" t="str">
        <f t="shared" si="6"/>
        <v>F-20.06_050</v>
      </c>
      <c r="B79" s="645" t="s">
        <v>296</v>
      </c>
      <c r="C79" s="786" t="s">
        <v>413</v>
      </c>
      <c r="D79" s="14" t="s">
        <v>1709</v>
      </c>
      <c r="E79" s="932"/>
      <c r="F79" s="660"/>
      <c r="G79" s="1651">
        <f>IF($E$79&gt;=0,0,"F20.6&gt;=0")</f>
        <v>0</v>
      </c>
      <c r="H79" s="792"/>
    </row>
    <row r="80" spans="1:15">
      <c r="A80" s="1156" t="str">
        <f t="shared" si="6"/>
        <v>F-20.06_060</v>
      </c>
      <c r="B80" s="645" t="s">
        <v>297</v>
      </c>
      <c r="C80" s="786" t="s">
        <v>414</v>
      </c>
      <c r="D80" s="14" t="s">
        <v>1710</v>
      </c>
      <c r="E80" s="932"/>
      <c r="F80" s="660"/>
      <c r="G80" s="1651">
        <f>IF($E$80&gt;=0,0,"F20.6&gt;=0")</f>
        <v>0</v>
      </c>
      <c r="H80" s="792"/>
    </row>
    <row r="81" spans="1:15" ht="69" customHeight="1">
      <c r="A81" s="1156" t="str">
        <f t="shared" si="6"/>
        <v>F-20.06_070</v>
      </c>
      <c r="B81" s="645" t="s">
        <v>298</v>
      </c>
      <c r="C81" s="787" t="s">
        <v>15</v>
      </c>
      <c r="D81" s="14" t="s">
        <v>1568</v>
      </c>
      <c r="E81" s="958">
        <f>SUM($E$82:$E$87)</f>
        <v>0</v>
      </c>
      <c r="F81" s="1651"/>
      <c r="G81" s="1651">
        <f>IF($E$81&gt;=0,0,"F20.6&gt;=0")</f>
        <v>0</v>
      </c>
      <c r="H81" s="1832">
        <f>IF($E$11="Y", IF(E81='20'!E63+'20'!F63+'20'!E67+'20'!F67+'20'!E71+'20'!F71,0,"sum({F 20.06, r070, c010, (sNNN)}) = {F 20.02, r040, c010} + {F 20.02, r040, c020} + {F 20.02, r080, c010} + {F 20.02, r080, c020} + {F 20.02, r120, c010} + {F 20.02, r120, c020}"),0)</f>
        <v>0</v>
      </c>
    </row>
    <row r="82" spans="1:15">
      <c r="A82" s="1156" t="str">
        <f t="shared" si="6"/>
        <v>F-20.06_080</v>
      </c>
      <c r="B82" s="645" t="s">
        <v>299</v>
      </c>
      <c r="C82" s="788" t="s">
        <v>99</v>
      </c>
      <c r="D82" s="14" t="s">
        <v>1713</v>
      </c>
      <c r="E82" s="932"/>
      <c r="F82" s="660"/>
      <c r="G82" s="1651">
        <f>IF($E$82&gt;=0,0,"F20.6&gt;=0")</f>
        <v>0</v>
      </c>
    </row>
    <row r="83" spans="1:15">
      <c r="A83" s="1156" t="str">
        <f t="shared" si="6"/>
        <v>F-20.06_090</v>
      </c>
      <c r="B83" s="645" t="s">
        <v>300</v>
      </c>
      <c r="C83" s="788" t="s">
        <v>100</v>
      </c>
      <c r="D83" s="14" t="s">
        <v>1714</v>
      </c>
      <c r="E83" s="932"/>
      <c r="F83" s="660"/>
      <c r="G83" s="1651">
        <f>IF($E$83&gt;=0,0,"F20.6&gt;=0")</f>
        <v>0</v>
      </c>
    </row>
    <row r="84" spans="1:15">
      <c r="A84" s="1156" t="str">
        <f t="shared" si="6"/>
        <v>F-20.06_100</v>
      </c>
      <c r="B84" s="645" t="s">
        <v>301</v>
      </c>
      <c r="C84" s="788" t="s">
        <v>101</v>
      </c>
      <c r="D84" s="14" t="s">
        <v>1709</v>
      </c>
      <c r="E84" s="932"/>
      <c r="F84" s="660"/>
      <c r="G84" s="1651">
        <f>IF($E$84&gt;=0,0,"F20.6&gt;=0")</f>
        <v>0</v>
      </c>
    </row>
    <row r="85" spans="1:15">
      <c r="A85" s="1156" t="str">
        <f t="shared" si="6"/>
        <v>F-20.06_110</v>
      </c>
      <c r="B85" s="645" t="s">
        <v>302</v>
      </c>
      <c r="C85" s="788" t="s">
        <v>102</v>
      </c>
      <c r="D85" s="14" t="s">
        <v>1710</v>
      </c>
      <c r="E85" s="932"/>
      <c r="F85" s="660"/>
      <c r="G85" s="1651">
        <f>IF($E$85&gt;=0,0,"F20.6&gt;=0")</f>
        <v>0</v>
      </c>
    </row>
    <row r="86" spans="1:15">
      <c r="A86" s="1156" t="str">
        <f t="shared" si="6"/>
        <v>F-20.06_120</v>
      </c>
      <c r="B86" s="645" t="s">
        <v>303</v>
      </c>
      <c r="C86" s="789" t="s">
        <v>703</v>
      </c>
      <c r="D86" s="14" t="s">
        <v>1711</v>
      </c>
      <c r="E86" s="932"/>
      <c r="F86" s="660"/>
      <c r="G86" s="1651">
        <f>IF($E$86&gt;=0,0,"F20.6&gt;=0")</f>
        <v>0</v>
      </c>
    </row>
    <row r="87" spans="1:15">
      <c r="A87" s="1156" t="str">
        <f t="shared" si="6"/>
        <v>F-20.06_130</v>
      </c>
      <c r="B87" s="790" t="s">
        <v>304</v>
      </c>
      <c r="C87" s="791" t="s">
        <v>128</v>
      </c>
      <c r="D87" s="43" t="s">
        <v>1717</v>
      </c>
      <c r="E87" s="936"/>
      <c r="F87" s="660"/>
      <c r="G87" s="1651">
        <f>IF($E$87&gt;=0,0,"F20.6&gt;=0")</f>
        <v>0</v>
      </c>
    </row>
    <row r="88" spans="1:15">
      <c r="A88" s="1100" t="s">
        <v>718</v>
      </c>
      <c r="B88" s="772"/>
      <c r="C88" s="660"/>
      <c r="D88" s="774"/>
      <c r="E88" s="850"/>
      <c r="F88" s="660"/>
      <c r="G88" s="660"/>
    </row>
    <row r="89" spans="1:15">
      <c r="A89" s="1156" t="s">
        <v>724</v>
      </c>
    </row>
    <row r="90" spans="1:15" s="1097" customFormat="1" ht="18" hidden="1" customHeight="1">
      <c r="A90" s="1096" t="s">
        <v>2257</v>
      </c>
      <c r="B90" s="1118">
        <v>2</v>
      </c>
      <c r="C90" s="1118">
        <v>1</v>
      </c>
      <c r="D90" s="1119">
        <v>14</v>
      </c>
      <c r="E90" s="1182">
        <v>5</v>
      </c>
      <c r="F90" s="1120">
        <v>3</v>
      </c>
      <c r="G90" s="1121">
        <v>4</v>
      </c>
      <c r="H90" s="1122">
        <v>4</v>
      </c>
      <c r="I90" s="1122">
        <v>4</v>
      </c>
      <c r="J90" s="1123">
        <v>4</v>
      </c>
      <c r="K90" s="1123">
        <v>5</v>
      </c>
      <c r="L90" s="1124">
        <v>4</v>
      </c>
      <c r="M90" s="1124">
        <v>6</v>
      </c>
      <c r="N90" s="1125">
        <v>4</v>
      </c>
      <c r="O90" s="1125">
        <v>7</v>
      </c>
    </row>
    <row r="91" spans="1:15" s="1097" customFormat="1" ht="18" hidden="1" customHeight="1">
      <c r="A91" s="1096" t="str">
        <f>Index!$A$2</f>
        <v>V20181222</v>
      </c>
      <c r="B91" s="1098"/>
      <c r="C91" s="1099"/>
      <c r="D91" s="1100"/>
      <c r="E91" s="1100" t="str">
        <f>$A$90&amp;"_"&amp;E103</f>
        <v>F-20.07.1_010</v>
      </c>
      <c r="F91" s="1100" t="str">
        <f t="shared" ref="F91:I91" si="7">$A$90&amp;"_"&amp;F103</f>
        <v>F-20.07.1_011</v>
      </c>
      <c r="G91" s="1100" t="str">
        <f t="shared" si="7"/>
        <v>F-20.07.1_012</v>
      </c>
      <c r="H91" s="1100" t="str">
        <f t="shared" si="7"/>
        <v>F-20.07.1_021</v>
      </c>
      <c r="I91" s="1100" t="str">
        <f t="shared" si="7"/>
        <v>F-20.07.1_022</v>
      </c>
      <c r="J91" s="1100"/>
      <c r="K91" s="1100"/>
      <c r="L91" s="1100"/>
      <c r="M91" s="1100"/>
      <c r="N91" s="1100"/>
      <c r="O91" s="1101"/>
    </row>
    <row r="92" spans="1:15" s="1097" customFormat="1" ht="18" hidden="1" customHeight="1">
      <c r="A92" s="1096" t="str">
        <f>"R:A1:P"&amp;ROW(A217)+1</f>
        <v>R:A1:P218</v>
      </c>
      <c r="B92" s="1102"/>
      <c r="C92" s="1103"/>
      <c r="D92" s="1104"/>
      <c r="E92" s="1105"/>
      <c r="F92" s="1106"/>
      <c r="G92" s="1107"/>
      <c r="H92" s="1107"/>
      <c r="I92" s="1107"/>
      <c r="J92" s="1107"/>
      <c r="K92" s="1107"/>
      <c r="L92" s="1107"/>
    </row>
    <row r="93" spans="1:15" s="1097" customFormat="1" ht="18" hidden="1" customHeight="1">
      <c r="A93" s="1096"/>
      <c r="B93" s="1102"/>
      <c r="C93" s="1103"/>
      <c r="D93" s="1108"/>
      <c r="E93" s="1109"/>
      <c r="F93" s="1110" t="str">
        <f>$D$9</f>
        <v>x1</v>
      </c>
      <c r="G93" s="1111">
        <f>O94</f>
        <v>0</v>
      </c>
      <c r="H93" s="1107"/>
      <c r="I93" s="1107"/>
      <c r="J93" s="1107"/>
      <c r="K93" s="1107"/>
      <c r="L93" s="1107"/>
    </row>
    <row r="94" spans="1:15" s="1097" customFormat="1" ht="18" hidden="1" customHeight="1">
      <c r="A94" s="1096"/>
      <c r="B94" s="1102"/>
      <c r="C94" s="1103"/>
      <c r="D94" s="1112"/>
      <c r="E94" s="1113"/>
      <c r="F94" s="1114"/>
      <c r="O94" s="1097">
        <f>COUNTIF(J104:Q124,"&lt;&gt;0")-COUNTBLANK(J104:Q124)+COUNTIF(E124:I124,"&lt;&gt;0")-COUNTBLANK(E124:I124)</f>
        <v>0</v>
      </c>
    </row>
    <row r="95" spans="1:15" s="1116" customFormat="1">
      <c r="A95" s="1100" t="s">
        <v>718</v>
      </c>
      <c r="B95" s="1115"/>
    </row>
    <row r="96" spans="1:15">
      <c r="A96" s="1100" t="s">
        <v>718</v>
      </c>
      <c r="B96" s="1755" t="s">
        <v>1738</v>
      </c>
      <c r="C96" s="792"/>
    </row>
    <row r="97" spans="1:17">
      <c r="A97" s="1100" t="s">
        <v>718</v>
      </c>
      <c r="C97" s="793"/>
    </row>
    <row r="98" spans="1:17">
      <c r="A98" s="1100" t="s">
        <v>718</v>
      </c>
      <c r="C98" s="794"/>
    </row>
    <row r="99" spans="1:17" ht="25.5" customHeight="1">
      <c r="A99" s="1100" t="s">
        <v>718</v>
      </c>
      <c r="B99" s="795"/>
      <c r="C99" s="796"/>
      <c r="D99" s="2110" t="s">
        <v>551</v>
      </c>
      <c r="E99" s="1978" t="s">
        <v>1740</v>
      </c>
      <c r="F99" s="2045"/>
      <c r="G99" s="2045"/>
      <c r="H99" s="2045"/>
      <c r="I99" s="2044"/>
    </row>
    <row r="100" spans="1:17">
      <c r="A100" s="1100"/>
      <c r="B100" s="800"/>
      <c r="C100" s="1525"/>
      <c r="D100" s="2111"/>
      <c r="E100" s="2118" t="s">
        <v>181</v>
      </c>
      <c r="F100" s="1652"/>
      <c r="G100" s="1652"/>
      <c r="H100" s="2120" t="s">
        <v>149</v>
      </c>
      <c r="I100" s="2120" t="s">
        <v>1727</v>
      </c>
    </row>
    <row r="101" spans="1:17" s="799" customFormat="1" ht="72" customHeight="1">
      <c r="A101" s="1100" t="s">
        <v>718</v>
      </c>
      <c r="B101" s="797"/>
      <c r="C101" s="798"/>
      <c r="D101" s="2111"/>
      <c r="E101" s="2119"/>
      <c r="F101" s="1515" t="s">
        <v>1741</v>
      </c>
      <c r="G101" s="1526" t="s">
        <v>694</v>
      </c>
      <c r="H101" s="2117"/>
      <c r="I101" s="2117"/>
    </row>
    <row r="102" spans="1:17" ht="31.5">
      <c r="A102" s="1100" t="s">
        <v>718</v>
      </c>
      <c r="B102" s="800"/>
      <c r="C102" s="801"/>
      <c r="D102" s="2111"/>
      <c r="E102" s="1518" t="s">
        <v>1742</v>
      </c>
      <c r="F102" s="584" t="s">
        <v>1722</v>
      </c>
      <c r="G102" s="584" t="s">
        <v>1725</v>
      </c>
      <c r="H102" s="584" t="s">
        <v>1726</v>
      </c>
      <c r="I102" s="1754" t="s">
        <v>1726</v>
      </c>
    </row>
    <row r="103" spans="1:17">
      <c r="A103" s="1100" t="s">
        <v>718</v>
      </c>
      <c r="B103" s="802"/>
      <c r="C103" s="803"/>
      <c r="D103" s="2112"/>
      <c r="E103" s="441" t="s">
        <v>292</v>
      </c>
      <c r="F103" s="1524" t="s">
        <v>1723</v>
      </c>
      <c r="G103" s="441" t="s">
        <v>695</v>
      </c>
      <c r="H103" s="418" t="s">
        <v>697</v>
      </c>
      <c r="I103" s="1786" t="s">
        <v>699</v>
      </c>
    </row>
    <row r="104" spans="1:17">
      <c r="A104" s="1156" t="str">
        <f>$A$90&amp;"_"&amp;B104</f>
        <v>F-20.07.1_010</v>
      </c>
      <c r="B104" s="804" t="s">
        <v>292</v>
      </c>
      <c r="C104" s="805" t="s">
        <v>182</v>
      </c>
      <c r="D104" s="806" t="s">
        <v>371</v>
      </c>
      <c r="E104" s="937"/>
      <c r="F104" s="937"/>
      <c r="G104" s="937"/>
      <c r="H104" s="1782"/>
      <c r="I104" s="1782"/>
      <c r="J104" s="1476">
        <f>IF($E$104&gt;=0,0,"F20.7,c10&gt;=0")</f>
        <v>0</v>
      </c>
      <c r="K104" s="1476">
        <f>IF(F104&gt;=0,0,"F20.7,c11&gt;=0")</f>
        <v>0</v>
      </c>
      <c r="L104" s="1476">
        <f>IF(G104&gt;=0,0,"F20.7,c12&gt;=0")</f>
        <v>0</v>
      </c>
      <c r="M104" s="1832">
        <f>IF($E$11="Y", IF(E104='6'!E16,0,"{F 06.01, c010} = sum({F 20.07.1, c010, (sNNN)})"),0)</f>
        <v>0</v>
      </c>
      <c r="N104" s="1840">
        <f>IF($E$11="Y", IF(G104='6'!G16,0,"{F 06.01, c012} = sum({F 20.07.1, c012, (sNNN)})"),0)</f>
        <v>0</v>
      </c>
      <c r="O104" s="1840">
        <f>IF($E$11="Y", IF(H104='6'!H16,0,"{F 06.01, c021} = sum({F 20.07.1, c021, (sNNN)})"),0)</f>
        <v>0</v>
      </c>
      <c r="P104" s="1840">
        <f>IF($E$11="Y", IF(F104='6'!F16,0,"{F 06.01, c011} = sum({F 20.07.1, c011, (sNNN)})"),0)</f>
        <v>0</v>
      </c>
      <c r="Q104" s="1840">
        <f>IF($E$11="Y", IF(I104='6'!I16,0,"{F 06.01, c022} = sum({F 20.07.1, c022, (sNNN)})"),0)</f>
        <v>0</v>
      </c>
    </row>
    <row r="105" spans="1:17">
      <c r="A105" s="1156" t="str">
        <f t="shared" ref="A105:A123" si="8">$A$90&amp;"_"&amp;B105</f>
        <v>F-20.07.1_020</v>
      </c>
      <c r="B105" s="807" t="s">
        <v>293</v>
      </c>
      <c r="C105" s="808" t="s">
        <v>183</v>
      </c>
      <c r="D105" s="809" t="s">
        <v>371</v>
      </c>
      <c r="E105" s="938"/>
      <c r="F105" s="938"/>
      <c r="G105" s="938"/>
      <c r="H105" s="1380"/>
      <c r="I105" s="1380"/>
      <c r="J105" s="1476">
        <f>IF($E$105&gt;=0,0,"F20.7,c10&gt;=0")</f>
        <v>0</v>
      </c>
      <c r="K105" s="1476">
        <f t="shared" ref="K105:K123" si="9">IF(F105&gt;=0,0,"F20.7,c11&gt;=0")</f>
        <v>0</v>
      </c>
      <c r="L105" s="1476">
        <f t="shared" ref="L105:L123" si="10">IF(G105&gt;=0,0,"F20.7,c12&gt;=0")</f>
        <v>0</v>
      </c>
      <c r="M105" s="1832">
        <f>IF($E$11="Y", IF(E105='6'!E17,0,"{F 06.01, c010} = sum({F 20.07.1, c010, (sNNN)})"),0)</f>
        <v>0</v>
      </c>
      <c r="N105" s="1840">
        <f>IF($E$11="Y", IF(G105='6'!G17,0,"{F 06.01, c012} = sum({F 20.07.1, c012, (sNNN)})"),0)</f>
        <v>0</v>
      </c>
      <c r="O105" s="1840">
        <f>IF($E$11="Y", IF(H105='6'!H17,0,"{F 06.01, c021} = sum({F 20.07.1, c021, (sNNN)})"),0)</f>
        <v>0</v>
      </c>
      <c r="P105" s="1840">
        <f>IF($E$11="Y", IF(F105='6'!F17,0,"{F 06.01, c011} = sum({F 20.07.1, c011, (sNNN)})"),0)</f>
        <v>0</v>
      </c>
      <c r="Q105" s="1840">
        <f>IF($E$11="Y", IF(I105='6'!I17,0,"{F 06.01, c022} = sum({F 20.07.1, c022, (sNNN)})"),0)</f>
        <v>0</v>
      </c>
    </row>
    <row r="106" spans="1:17">
      <c r="A106" s="1156" t="str">
        <f t="shared" si="8"/>
        <v>F-20.07.1_030</v>
      </c>
      <c r="B106" s="807" t="s">
        <v>294</v>
      </c>
      <c r="C106" s="808" t="s">
        <v>184</v>
      </c>
      <c r="D106" s="809" t="s">
        <v>371</v>
      </c>
      <c r="E106" s="938"/>
      <c r="F106" s="938"/>
      <c r="G106" s="938"/>
      <c r="H106" s="1380"/>
      <c r="I106" s="1380"/>
      <c r="J106" s="1476">
        <f>IF($E$106&gt;=0,0,"F20.7,c10&gt;=0")</f>
        <v>0</v>
      </c>
      <c r="K106" s="1476">
        <f t="shared" si="9"/>
        <v>0</v>
      </c>
      <c r="L106" s="1476">
        <f t="shared" si="10"/>
        <v>0</v>
      </c>
      <c r="M106" s="1832">
        <f>IF($E$11="Y", IF(E106='6'!E18,0,"{F 06.01, c010} = sum({F 20.07.1, c010, (sNNN)})"),0)</f>
        <v>0</v>
      </c>
      <c r="N106" s="1840">
        <f>IF($E$11="Y", IF(G106='6'!G18,0,"{F 06.01, c012} = sum({F 20.07.1, c012, (sNNN)})"),0)</f>
        <v>0</v>
      </c>
      <c r="O106" s="1840">
        <f>IF($E$11="Y", IF(H106='6'!H18,0,"{F 06.01, c021} = sum({F 20.07.1, c021, (sNNN)})"),0)</f>
        <v>0</v>
      </c>
      <c r="P106" s="1840">
        <f>IF($E$11="Y", IF(F106='6'!F18,0,"{F 06.01, c011} = sum({F 20.07.1, c011, (sNNN)})"),0)</f>
        <v>0</v>
      </c>
      <c r="Q106" s="1840">
        <f>IF($E$11="Y", IF(I106='6'!I18,0,"{F 06.01, c022} = sum({F 20.07.1, c022, (sNNN)})"),0)</f>
        <v>0</v>
      </c>
    </row>
    <row r="107" spans="1:17">
      <c r="A107" s="1156" t="str">
        <f t="shared" si="8"/>
        <v>F-20.07.1_040</v>
      </c>
      <c r="B107" s="807" t="s">
        <v>295</v>
      </c>
      <c r="C107" s="808" t="s">
        <v>185</v>
      </c>
      <c r="D107" s="809" t="s">
        <v>371</v>
      </c>
      <c r="E107" s="938"/>
      <c r="F107" s="938"/>
      <c r="G107" s="938"/>
      <c r="H107" s="1380"/>
      <c r="I107" s="1380"/>
      <c r="J107" s="1476">
        <f>IF($E$107&gt;=0,0,"F20.7,c10&gt;=0")</f>
        <v>0</v>
      </c>
      <c r="K107" s="1476">
        <f t="shared" si="9"/>
        <v>0</v>
      </c>
      <c r="L107" s="1476">
        <f t="shared" si="10"/>
        <v>0</v>
      </c>
      <c r="M107" s="1832">
        <f>IF($E$11="Y", IF(E107='6'!E19,0,"{F 06.01, c010} = sum({F 20.07.1, c010, (sNNN)})"),0)</f>
        <v>0</v>
      </c>
      <c r="N107" s="1840">
        <f>IF($E$11="Y", IF(G107='6'!G19,0,"{F 06.01, c012} = sum({F 20.07.1, c012, (sNNN)})"),0)</f>
        <v>0</v>
      </c>
      <c r="O107" s="1840">
        <f>IF($E$11="Y", IF(H107='6'!H19,0,"{F 06.01, c021} = sum({F 20.07.1, c021, (sNNN)})"),0)</f>
        <v>0</v>
      </c>
      <c r="P107" s="1840">
        <f>IF($E$11="Y", IF(F107='6'!F19,0,"{F 06.01, c011} = sum({F 20.07.1, c011, (sNNN)})"),0)</f>
        <v>0</v>
      </c>
      <c r="Q107" s="1840">
        <f>IF($E$11="Y", IF(I107='6'!I19,0,"{F 06.01, c022} = sum({F 20.07.1, c022, (sNNN)})"),0)</f>
        <v>0</v>
      </c>
    </row>
    <row r="108" spans="1:17">
      <c r="A108" s="1156" t="str">
        <f t="shared" si="8"/>
        <v>F-20.07.1_050</v>
      </c>
      <c r="B108" s="807" t="s">
        <v>296</v>
      </c>
      <c r="C108" s="808" t="s">
        <v>186</v>
      </c>
      <c r="D108" s="809" t="s">
        <v>371</v>
      </c>
      <c r="E108" s="938"/>
      <c r="F108" s="938"/>
      <c r="G108" s="938"/>
      <c r="H108" s="1380"/>
      <c r="I108" s="1380"/>
      <c r="J108" s="1476">
        <f>IF($E$108&gt;=0,0,"F20.7,c10&gt;=0")</f>
        <v>0</v>
      </c>
      <c r="K108" s="1476">
        <f t="shared" si="9"/>
        <v>0</v>
      </c>
      <c r="L108" s="1476">
        <f t="shared" si="10"/>
        <v>0</v>
      </c>
      <c r="M108" s="1832">
        <f>IF($E$11="Y", IF(E108='6'!E20,0,"{F 06.01, c010} = sum({F 20.07.1, c010, (sNNN)})"),0)</f>
        <v>0</v>
      </c>
      <c r="N108" s="1840">
        <f>IF($E$11="Y", IF(G108='6'!G20,0,"{F 06.01, c012} = sum({F 20.07.1, c012, (sNNN)})"),0)</f>
        <v>0</v>
      </c>
      <c r="O108" s="1840">
        <f>IF($E$11="Y", IF(H108='6'!H20,0,"{F 06.01, c021} = sum({F 20.07.1, c021, (sNNN)})"),0)</f>
        <v>0</v>
      </c>
      <c r="P108" s="1840">
        <f>IF($E$11="Y", IF(F108='6'!F20,0,"{F 06.01, c011} = sum({F 20.07.1, c011, (sNNN)})"),0)</f>
        <v>0</v>
      </c>
      <c r="Q108" s="1840">
        <f>IF($E$11="Y", IF(I108='6'!I20,0,"{F 06.01, c022} = sum({F 20.07.1, c022, (sNNN)})"),0)</f>
        <v>0</v>
      </c>
    </row>
    <row r="109" spans="1:17">
      <c r="A109" s="1156" t="str">
        <f t="shared" si="8"/>
        <v>F-20.07.1_060</v>
      </c>
      <c r="B109" s="807" t="s">
        <v>297</v>
      </c>
      <c r="C109" s="808" t="s">
        <v>187</v>
      </c>
      <c r="D109" s="809" t="s">
        <v>371</v>
      </c>
      <c r="E109" s="938"/>
      <c r="F109" s="938"/>
      <c r="G109" s="938"/>
      <c r="H109" s="1380"/>
      <c r="I109" s="1380"/>
      <c r="J109" s="1476">
        <f>IF($E$109&gt;=0,0,"F20.7,c10&gt;=0")</f>
        <v>0</v>
      </c>
      <c r="K109" s="1476">
        <f t="shared" si="9"/>
        <v>0</v>
      </c>
      <c r="L109" s="1476">
        <f t="shared" si="10"/>
        <v>0</v>
      </c>
      <c r="M109" s="1832">
        <f>IF($E$11="Y", IF(E109='6'!E21,0,"{F 06.01, c010} = sum({F 20.07.1, c010, (sNNN)})"),0)</f>
        <v>0</v>
      </c>
      <c r="N109" s="1840">
        <f>IF($E$11="Y", IF(G109='6'!G21,0,"{F 06.01, c012} = sum({F 20.07.1, c012, (sNNN)})"),0)</f>
        <v>0</v>
      </c>
      <c r="O109" s="1840">
        <f>IF($E$11="Y", IF(H109='6'!H21,0,"{F 06.01, c021} = sum({F 20.07.1, c021, (sNNN)})"),0)</f>
        <v>0</v>
      </c>
      <c r="P109" s="1840">
        <f>IF($E$11="Y", IF(F109='6'!F21,0,"{F 06.01, c011} = sum({F 20.07.1, c011, (sNNN)})"),0)</f>
        <v>0</v>
      </c>
      <c r="Q109" s="1840">
        <f>IF($E$11="Y", IF(I109='6'!I21,0,"{F 06.01, c022} = sum({F 20.07.1, c022, (sNNN)})"),0)</f>
        <v>0</v>
      </c>
    </row>
    <row r="110" spans="1:17">
      <c r="A110" s="1156" t="str">
        <f t="shared" si="8"/>
        <v>F-20.07.1_070</v>
      </c>
      <c r="B110" s="807" t="s">
        <v>298</v>
      </c>
      <c r="C110" s="808" t="s">
        <v>188</v>
      </c>
      <c r="D110" s="809" t="s">
        <v>371</v>
      </c>
      <c r="E110" s="938"/>
      <c r="F110" s="938"/>
      <c r="G110" s="938"/>
      <c r="H110" s="1380"/>
      <c r="I110" s="1380"/>
      <c r="J110" s="1476">
        <f>IF($E$110&gt;=0,0,"F20.7,c10&gt;=0")</f>
        <v>0</v>
      </c>
      <c r="K110" s="1476">
        <f t="shared" si="9"/>
        <v>0</v>
      </c>
      <c r="L110" s="1476">
        <f t="shared" si="10"/>
        <v>0</v>
      </c>
      <c r="M110" s="1832">
        <f>IF($E$11="Y", IF(E110='6'!E22,0,"{F 06.01, c010} = sum({F 20.07.1, c010, (sNNN)})"),0)</f>
        <v>0</v>
      </c>
      <c r="N110" s="1840">
        <f>IF($E$11="Y", IF(G110='6'!G22,0,"{F 06.01, c012} = sum({F 20.07.1, c012, (sNNN)})"),0)</f>
        <v>0</v>
      </c>
      <c r="O110" s="1840">
        <f>IF($E$11="Y", IF(H110='6'!H22,0,"{F 06.01, c021} = sum({F 20.07.1, c021, (sNNN)})"),0)</f>
        <v>0</v>
      </c>
      <c r="P110" s="1840">
        <f>IF($E$11="Y", IF(F110='6'!F22,0,"{F 06.01, c011} = sum({F 20.07.1, c011, (sNNN)})"),0)</f>
        <v>0</v>
      </c>
      <c r="Q110" s="1840">
        <f>IF($E$11="Y", IF(I110='6'!I22,0,"{F 06.01, c022} = sum({F 20.07.1, c022, (sNNN)})"),0)</f>
        <v>0</v>
      </c>
    </row>
    <row r="111" spans="1:17">
      <c r="A111" s="1156" t="str">
        <f t="shared" si="8"/>
        <v>F-20.07.1_080</v>
      </c>
      <c r="B111" s="807" t="s">
        <v>299</v>
      </c>
      <c r="C111" s="808" t="s">
        <v>189</v>
      </c>
      <c r="D111" s="809" t="s">
        <v>371</v>
      </c>
      <c r="E111" s="938"/>
      <c r="F111" s="938"/>
      <c r="G111" s="938"/>
      <c r="H111" s="1380"/>
      <c r="I111" s="1380"/>
      <c r="J111" s="1476">
        <f>IF($E$111&gt;=0,0,"F20.7,c10&gt;=0")</f>
        <v>0</v>
      </c>
      <c r="K111" s="1476">
        <f t="shared" si="9"/>
        <v>0</v>
      </c>
      <c r="L111" s="1476">
        <f t="shared" si="10"/>
        <v>0</v>
      </c>
      <c r="M111" s="1832">
        <f>IF($E$11="Y", IF(E111='6'!E23,0,"{F 06.01, c010} = sum({F 20.07.1, c010, (sNNN)})"),0)</f>
        <v>0</v>
      </c>
      <c r="N111" s="1840">
        <f>IF($E$11="Y", IF(G111='6'!G23,0,"{F 06.01, c012} = sum({F 20.07.1, c012, (sNNN)})"),0)</f>
        <v>0</v>
      </c>
      <c r="O111" s="1840">
        <f>IF($E$11="Y", IF(H111='6'!H23,0,"{F 06.01, c021} = sum({F 20.07.1, c021, (sNNN)})"),0)</f>
        <v>0</v>
      </c>
      <c r="P111" s="1840">
        <f>IF($E$11="Y", IF(F111='6'!F23,0,"{F 06.01, c011} = sum({F 20.07.1, c011, (sNNN)})"),0)</f>
        <v>0</v>
      </c>
      <c r="Q111" s="1840">
        <f>IF($E$11="Y", IF(I111='6'!I23,0,"{F 06.01, c022} = sum({F 20.07.1, c022, (sNNN)})"),0)</f>
        <v>0</v>
      </c>
    </row>
    <row r="112" spans="1:17">
      <c r="A112" s="1156" t="str">
        <f t="shared" si="8"/>
        <v>F-20.07.1_090</v>
      </c>
      <c r="B112" s="807" t="s">
        <v>300</v>
      </c>
      <c r="C112" s="808" t="s">
        <v>190</v>
      </c>
      <c r="D112" s="809" t="s">
        <v>371</v>
      </c>
      <c r="E112" s="938"/>
      <c r="F112" s="938"/>
      <c r="G112" s="938"/>
      <c r="H112" s="1380"/>
      <c r="I112" s="1380"/>
      <c r="J112" s="1476">
        <f>IF($E$112&gt;=0,0,"F20.7,c10&gt;=0")</f>
        <v>0</v>
      </c>
      <c r="K112" s="1476">
        <f t="shared" si="9"/>
        <v>0</v>
      </c>
      <c r="L112" s="1476">
        <f t="shared" si="10"/>
        <v>0</v>
      </c>
      <c r="M112" s="1832">
        <f>IF($E$11="Y", IF(E112='6'!E24,0,"{F 06.01, c010} = sum({F 20.07.1, c010, (sNNN)})"),0)</f>
        <v>0</v>
      </c>
      <c r="N112" s="1840">
        <f>IF($E$11="Y", IF(G112='6'!G24,0,"{F 06.01, c012} = sum({F 20.07.1, c012, (sNNN)})"),0)</f>
        <v>0</v>
      </c>
      <c r="O112" s="1840">
        <f>IF($E$11="Y", IF(H112='6'!H24,0,"{F 06.01, c021} = sum({F 20.07.1, c021, (sNNN)})"),0)</f>
        <v>0</v>
      </c>
      <c r="P112" s="1840">
        <f>IF($E$11="Y", IF(F112='6'!F24,0,"{F 06.01, c011} = sum({F 20.07.1, c011, (sNNN)})"),0)</f>
        <v>0</v>
      </c>
      <c r="Q112" s="1840">
        <f>IF($E$11="Y", IF(I112='6'!I24,0,"{F 06.01, c022} = sum({F 20.07.1, c022, (sNNN)})"),0)</f>
        <v>0</v>
      </c>
    </row>
    <row r="113" spans="1:17">
      <c r="A113" s="1156" t="str">
        <f t="shared" si="8"/>
        <v>F-20.07.1_100</v>
      </c>
      <c r="B113" s="807" t="s">
        <v>301</v>
      </c>
      <c r="C113" s="808" t="s">
        <v>191</v>
      </c>
      <c r="D113" s="809" t="s">
        <v>371</v>
      </c>
      <c r="E113" s="938"/>
      <c r="F113" s="938"/>
      <c r="G113" s="938"/>
      <c r="H113" s="1380"/>
      <c r="I113" s="1380"/>
      <c r="J113" s="1476">
        <f>IF($E$113&gt;=0,0,"F20.7,c10&gt;=0")</f>
        <v>0</v>
      </c>
      <c r="K113" s="1476">
        <f t="shared" si="9"/>
        <v>0</v>
      </c>
      <c r="L113" s="1476">
        <f t="shared" si="10"/>
        <v>0</v>
      </c>
      <c r="M113" s="1832">
        <f>IF($E$11="Y", IF(E113='6'!E25,0,"{F 06.01, c010} = sum({F 20.07.1, c010, (sNNN)})"),0)</f>
        <v>0</v>
      </c>
      <c r="N113" s="1840">
        <f>IF($E$11="Y", IF(G113='6'!G25,0,"{F 06.01, c012} = sum({F 20.07.1, c012, (sNNN)})"),0)</f>
        <v>0</v>
      </c>
      <c r="O113" s="1840">
        <f>IF($E$11="Y", IF(H113='6'!H25,0,"{F 06.01, c021} = sum({F 20.07.1, c021, (sNNN)})"),0)</f>
        <v>0</v>
      </c>
      <c r="P113" s="1840">
        <f>IF($E$11="Y", IF(F113='6'!F25,0,"{F 06.01, c011} = sum({F 20.07.1, c011, (sNNN)})"),0)</f>
        <v>0</v>
      </c>
      <c r="Q113" s="1840">
        <f>IF($E$11="Y", IF(I113='6'!I25,0,"{F 06.01, c022} = sum({F 20.07.1, c022, (sNNN)})"),0)</f>
        <v>0</v>
      </c>
    </row>
    <row r="114" spans="1:17">
      <c r="A114" s="1156" t="str">
        <f t="shared" si="8"/>
        <v>F-20.07.1_105</v>
      </c>
      <c r="B114" s="1756">
        <v>105</v>
      </c>
      <c r="C114" s="808" t="s">
        <v>1739</v>
      </c>
      <c r="D114" s="809" t="s">
        <v>371</v>
      </c>
      <c r="E114" s="938"/>
      <c r="F114" s="938"/>
      <c r="G114" s="938"/>
      <c r="H114" s="1380"/>
      <c r="I114" s="1380"/>
      <c r="J114" s="1476">
        <f>IF($E$114&gt;=0,0,"F20.7,c10&gt;=0")</f>
        <v>0</v>
      </c>
      <c r="K114" s="1476">
        <f t="shared" si="9"/>
        <v>0</v>
      </c>
      <c r="L114" s="1476">
        <f t="shared" si="10"/>
        <v>0</v>
      </c>
      <c r="M114" s="1832">
        <f>IF($E$11="Y", IF(E114='6'!E26,0,"{F 06.01, c010} = sum({F 20.07.1, c010, (sNNN)})"),0)</f>
        <v>0</v>
      </c>
      <c r="N114" s="1840">
        <f>IF($E$11="Y", IF(G114='6'!G26,0,"{F 06.01, c012} = sum({F 20.07.1, c012, (sNNN)})"),0)</f>
        <v>0</v>
      </c>
      <c r="O114" s="1840">
        <f>IF($E$11="Y", IF(H114='6'!H26,0,"{F 06.01, c021} = sum({F 20.07.1, c021, (sNNN)})"),0)</f>
        <v>0</v>
      </c>
      <c r="P114" s="1840">
        <f>IF($E$11="Y", IF(F114='6'!F26,0,"{F 06.01, c011} = sum({F 20.07.1, c011, (sNNN)})"),0)</f>
        <v>0</v>
      </c>
      <c r="Q114" s="1840">
        <f>IF($E$11="Y", IF(I114='6'!I26,0,"{F 06.01, c022} = sum({F 20.07.1, c022, (sNNN)})"),0)</f>
        <v>0</v>
      </c>
    </row>
    <row r="115" spans="1:17">
      <c r="A115" s="1156" t="str">
        <f t="shared" si="8"/>
        <v>F-20.07.1_110</v>
      </c>
      <c r="B115" s="807" t="s">
        <v>302</v>
      </c>
      <c r="C115" s="808" t="s">
        <v>192</v>
      </c>
      <c r="D115" s="809" t="s">
        <v>371</v>
      </c>
      <c r="E115" s="938"/>
      <c r="F115" s="938"/>
      <c r="G115" s="938"/>
      <c r="H115" s="1380"/>
      <c r="I115" s="1380"/>
      <c r="J115" s="1476">
        <f>IF($E$115&gt;=0,0,"F20.7,c10&gt;=0")</f>
        <v>0</v>
      </c>
      <c r="K115" s="1476">
        <f t="shared" si="9"/>
        <v>0</v>
      </c>
      <c r="L115" s="1476">
        <f t="shared" si="10"/>
        <v>0</v>
      </c>
      <c r="M115" s="1832">
        <f>IF($E$11="Y", IF(E115='6'!E27,0,"{F 06.01, c010} = sum({F 20.07.1, c010, (sNNN)})"),0)</f>
        <v>0</v>
      </c>
      <c r="N115" s="1840">
        <f>IF($E$11="Y", IF(G115='6'!G27,0,"{F 06.01, c012} = sum({F 20.07.1, c012, (sNNN)})"),0)</f>
        <v>0</v>
      </c>
      <c r="O115" s="1840">
        <f>IF($E$11="Y", IF(H115='6'!H27,0,"{F 06.01, c021} = sum({F 20.07.1, c021, (sNNN)})"),0)</f>
        <v>0</v>
      </c>
      <c r="P115" s="1840">
        <f>IF($E$11="Y", IF(F115='6'!F27,0,"{F 06.01, c011} = sum({F 20.07.1, c011, (sNNN)})"),0)</f>
        <v>0</v>
      </c>
      <c r="Q115" s="1840">
        <f>IF($E$11="Y", IF(I115='6'!I27,0,"{F 06.01, c022} = sum({F 20.07.1, c022, (sNNN)})"),0)</f>
        <v>0</v>
      </c>
    </row>
    <row r="116" spans="1:17">
      <c r="A116" s="1156" t="str">
        <f t="shared" si="8"/>
        <v>F-20.07.1_120</v>
      </c>
      <c r="B116" s="807" t="s">
        <v>303</v>
      </c>
      <c r="C116" s="808" t="s">
        <v>249</v>
      </c>
      <c r="D116" s="809" t="s">
        <v>371</v>
      </c>
      <c r="E116" s="938"/>
      <c r="F116" s="938"/>
      <c r="G116" s="938"/>
      <c r="H116" s="1380"/>
      <c r="I116" s="1380"/>
      <c r="J116" s="1476">
        <f>IF($E$116&gt;=0,0,"F20.7,c10&gt;=0")</f>
        <v>0</v>
      </c>
      <c r="K116" s="1476">
        <f t="shared" si="9"/>
        <v>0</v>
      </c>
      <c r="L116" s="1476">
        <f t="shared" si="10"/>
        <v>0</v>
      </c>
      <c r="M116" s="1832">
        <f>IF($E$11="Y", IF(E116='6'!E28,0,"{F 06.01, c010} = sum({F 20.07.1, c010, (sNNN)})"),0)</f>
        <v>0</v>
      </c>
      <c r="N116" s="1840">
        <f>IF($E$11="Y", IF(G116='6'!G28,0,"{F 06.01, c012} = sum({F 20.07.1, c012, (sNNN)})"),0)</f>
        <v>0</v>
      </c>
      <c r="O116" s="1840">
        <f>IF($E$11="Y", IF(H116='6'!H28,0,"{F 06.01, c021} = sum({F 20.07.1, c021, (sNNN)})"),0)</f>
        <v>0</v>
      </c>
      <c r="P116" s="1840">
        <f>IF($E$11="Y", IF(F116='6'!F28,0,"{F 06.01, c011} = sum({F 20.07.1, c011, (sNNN)})"),0)</f>
        <v>0</v>
      </c>
      <c r="Q116" s="1840">
        <f>IF($E$11="Y", IF(I116='6'!I28,0,"{F 06.01, c022} = sum({F 20.07.1, c022, (sNNN)})"),0)</f>
        <v>0</v>
      </c>
    </row>
    <row r="117" spans="1:17">
      <c r="A117" s="1156" t="str">
        <f t="shared" si="8"/>
        <v>F-20.07.1_130</v>
      </c>
      <c r="B117" s="807" t="s">
        <v>304</v>
      </c>
      <c r="C117" s="808" t="s">
        <v>250</v>
      </c>
      <c r="D117" s="809" t="s">
        <v>371</v>
      </c>
      <c r="E117" s="938"/>
      <c r="F117" s="938"/>
      <c r="G117" s="938"/>
      <c r="H117" s="1380"/>
      <c r="I117" s="1380"/>
      <c r="J117" s="1476">
        <f>IF($E$117&gt;=0,0,"F20.7,c10&gt;=0")</f>
        <v>0</v>
      </c>
      <c r="K117" s="1476">
        <f t="shared" si="9"/>
        <v>0</v>
      </c>
      <c r="L117" s="1476">
        <f t="shared" si="10"/>
        <v>0</v>
      </c>
      <c r="M117" s="1832">
        <f>IF($E$11="Y", IF(E117='6'!E29,0,"{F 06.01, c010} = sum({F 20.07.1, c010, (sNNN)})"),0)</f>
        <v>0</v>
      </c>
      <c r="N117" s="1840">
        <f>IF($E$11="Y", IF(G117='6'!G29,0,"{F 06.01, c012} = sum({F 20.07.1, c012, (sNNN)})"),0)</f>
        <v>0</v>
      </c>
      <c r="O117" s="1840">
        <f>IF($E$11="Y", IF(H117='6'!H29,0,"{F 06.01, c021} = sum({F 20.07.1, c021, (sNNN)})"),0)</f>
        <v>0</v>
      </c>
      <c r="P117" s="1840">
        <f>IF($E$11="Y", IF(F117='6'!F29,0,"{F 06.01, c011} = sum({F 20.07.1, c011, (sNNN)})"),0)</f>
        <v>0</v>
      </c>
      <c r="Q117" s="1840">
        <f>IF($E$11="Y", IF(I117='6'!I29,0,"{F 06.01, c022} = sum({F 20.07.1, c022, (sNNN)})"),0)</f>
        <v>0</v>
      </c>
    </row>
    <row r="118" spans="1:17">
      <c r="A118" s="1156" t="str">
        <f t="shared" si="8"/>
        <v>F-20.07.1_140</v>
      </c>
      <c r="B118" s="807" t="s">
        <v>305</v>
      </c>
      <c r="C118" s="808" t="s">
        <v>251</v>
      </c>
      <c r="D118" s="809" t="s">
        <v>371</v>
      </c>
      <c r="E118" s="938"/>
      <c r="F118" s="938"/>
      <c r="G118" s="938"/>
      <c r="H118" s="1380"/>
      <c r="I118" s="1380"/>
      <c r="J118" s="1476">
        <f>IF($E$118&gt;=0,0,"F20.7,c10&gt;=0")</f>
        <v>0</v>
      </c>
      <c r="K118" s="1476">
        <f t="shared" si="9"/>
        <v>0</v>
      </c>
      <c r="L118" s="1476">
        <f t="shared" si="10"/>
        <v>0</v>
      </c>
      <c r="M118" s="1832">
        <f>IF($E$11="Y", IF(E118='6'!E30,0,"{F 06.01, c010} = sum({F 20.07.1, c010, (sNNN)})"),0)</f>
        <v>0</v>
      </c>
      <c r="N118" s="1840">
        <f>IF($E$11="Y", IF(G118='6'!G30,0,"{F 06.01, c012} = sum({F 20.07.1, c012, (sNNN)})"),0)</f>
        <v>0</v>
      </c>
      <c r="O118" s="1840">
        <f>IF($E$11="Y", IF(H118='6'!H30,0,"{F 06.01, c021} = sum({F 20.07.1, c021, (sNNN)})"),0)</f>
        <v>0</v>
      </c>
      <c r="P118" s="1840">
        <f>IF($E$11="Y", IF(F118='6'!F30,0,"{F 06.01, c011} = sum({F 20.07.1, c011, (sNNN)})"),0)</f>
        <v>0</v>
      </c>
      <c r="Q118" s="1840">
        <f>IF($E$11="Y", IF(I118='6'!I30,0,"{F 06.01, c022} = sum({F 20.07.1, c022, (sNNN)})"),0)</f>
        <v>0</v>
      </c>
    </row>
    <row r="119" spans="1:17">
      <c r="A119" s="1156" t="str">
        <f t="shared" si="8"/>
        <v>F-20.07.1_150</v>
      </c>
      <c r="B119" s="807" t="s">
        <v>306</v>
      </c>
      <c r="C119" s="808" t="s">
        <v>252</v>
      </c>
      <c r="D119" s="809" t="s">
        <v>371</v>
      </c>
      <c r="E119" s="938"/>
      <c r="F119" s="938"/>
      <c r="G119" s="938"/>
      <c r="H119" s="1380"/>
      <c r="I119" s="1380"/>
      <c r="J119" s="1476">
        <f>IF($E$119&gt;=0,0,"F20.7,c10&gt;=0")</f>
        <v>0</v>
      </c>
      <c r="K119" s="1476">
        <f t="shared" si="9"/>
        <v>0</v>
      </c>
      <c r="L119" s="1476">
        <f t="shared" si="10"/>
        <v>0</v>
      </c>
      <c r="M119" s="1832">
        <f>IF($E$11="Y", IF(E119='6'!E31,0,"{F 06.01, c010} = sum({F 20.07.1, c010, (sNNN)})"),0)</f>
        <v>0</v>
      </c>
      <c r="N119" s="1840">
        <f>IF($E$11="Y", IF(G119='6'!G31,0,"{F 06.01, c012} = sum({F 20.07.1, c012, (sNNN)})"),0)</f>
        <v>0</v>
      </c>
      <c r="O119" s="1840">
        <f>IF($E$11="Y", IF(H119='6'!H31,0,"{F 06.01, c021} = sum({F 20.07.1, c021, (sNNN)})"),0)</f>
        <v>0</v>
      </c>
      <c r="P119" s="1840">
        <f>IF($E$11="Y", IF(F119='6'!F31,0,"{F 06.01, c011} = sum({F 20.07.1, c011, (sNNN)})"),0)</f>
        <v>0</v>
      </c>
      <c r="Q119" s="1840">
        <f>IF($E$11="Y", IF(I119='6'!I31,0,"{F 06.01, c022} = sum({F 20.07.1, c022, (sNNN)})"),0)</f>
        <v>0</v>
      </c>
    </row>
    <row r="120" spans="1:17">
      <c r="A120" s="1156" t="str">
        <f t="shared" si="8"/>
        <v>F-20.07.1_160</v>
      </c>
      <c r="B120" s="807" t="s">
        <v>307</v>
      </c>
      <c r="C120" s="808" t="s">
        <v>253</v>
      </c>
      <c r="D120" s="809" t="s">
        <v>371</v>
      </c>
      <c r="E120" s="938"/>
      <c r="F120" s="938"/>
      <c r="G120" s="938"/>
      <c r="H120" s="1380"/>
      <c r="I120" s="1380"/>
      <c r="J120" s="1476">
        <f>IF($E$120&gt;=0,0,"F20.7,c10&gt;=0")</f>
        <v>0</v>
      </c>
      <c r="K120" s="1476">
        <f t="shared" si="9"/>
        <v>0</v>
      </c>
      <c r="L120" s="1476">
        <f t="shared" si="10"/>
        <v>0</v>
      </c>
      <c r="M120" s="1832">
        <f>IF($E$11="Y", IF(E120='6'!E32,0,"{F 06.01, c010} = sum({F 20.07.1, c010, (sNNN)})"),0)</f>
        <v>0</v>
      </c>
      <c r="N120" s="1840">
        <f>IF($E$11="Y", IF(G120='6'!G32,0,"{F 06.01, c012} = sum({F 20.07.1, c012, (sNNN)})"),0)</f>
        <v>0</v>
      </c>
      <c r="O120" s="1840">
        <f>IF($E$11="Y", IF(H120='6'!H32,0,"{F 06.01, c021} = sum({F 20.07.1, c021, (sNNN)})"),0)</f>
        <v>0</v>
      </c>
      <c r="P120" s="1840">
        <f>IF($E$11="Y", IF(F120='6'!F32,0,"{F 06.01, c011} = sum({F 20.07.1, c011, (sNNN)})"),0)</f>
        <v>0</v>
      </c>
      <c r="Q120" s="1840">
        <f>IF($E$11="Y", IF(I120='6'!I32,0,"{F 06.01, c022} = sum({F 20.07.1, c022, (sNNN)})"),0)</f>
        <v>0</v>
      </c>
    </row>
    <row r="121" spans="1:17">
      <c r="A121" s="1156" t="str">
        <f t="shared" si="8"/>
        <v>F-20.07.1_170</v>
      </c>
      <c r="B121" s="807" t="s">
        <v>308</v>
      </c>
      <c r="C121" s="808" t="s">
        <v>254</v>
      </c>
      <c r="D121" s="809" t="s">
        <v>371</v>
      </c>
      <c r="E121" s="938"/>
      <c r="F121" s="938"/>
      <c r="G121" s="938"/>
      <c r="H121" s="1380"/>
      <c r="I121" s="1380"/>
      <c r="J121" s="1476">
        <f>IF($E$121&gt;=0,0,"F20.7,c10&gt;=0")</f>
        <v>0</v>
      </c>
      <c r="K121" s="1476">
        <f t="shared" si="9"/>
        <v>0</v>
      </c>
      <c r="L121" s="1476">
        <f t="shared" si="10"/>
        <v>0</v>
      </c>
      <c r="M121" s="1832">
        <f>IF($E$11="Y", IF(E121='6'!E33,0,"{F 06.01, c010} = sum({F 20.07.1, c010, (sNNN)})"),0)</f>
        <v>0</v>
      </c>
      <c r="N121" s="1840">
        <f>IF($E$11="Y", IF(G121='6'!G33,0,"{F 06.01, c012} = sum({F 20.07.1, c012, (sNNN)})"),0)</f>
        <v>0</v>
      </c>
      <c r="O121" s="1840">
        <f>IF($E$11="Y", IF(H121='6'!H33,0,"{F 06.01, c021} = sum({F 20.07.1, c021, (sNNN)})"),0)</f>
        <v>0</v>
      </c>
      <c r="P121" s="1840">
        <f>IF($E$11="Y", IF(F121='6'!F33,0,"{F 06.01, c011} = sum({F 20.07.1, c011, (sNNN)})"),0)</f>
        <v>0</v>
      </c>
      <c r="Q121" s="1840">
        <f>IF($E$11="Y", IF(I121='6'!I33,0,"{F 06.01, c022} = sum({F 20.07.1, c022, (sNNN)})"),0)</f>
        <v>0</v>
      </c>
    </row>
    <row r="122" spans="1:17">
      <c r="A122" s="1156" t="str">
        <f t="shared" si="8"/>
        <v>F-20.07.1_180</v>
      </c>
      <c r="B122" s="807" t="s">
        <v>309</v>
      </c>
      <c r="C122" s="808" t="s">
        <v>255</v>
      </c>
      <c r="D122" s="809" t="s">
        <v>371</v>
      </c>
      <c r="E122" s="938"/>
      <c r="F122" s="938"/>
      <c r="G122" s="938"/>
      <c r="H122" s="1783"/>
      <c r="I122" s="1783"/>
      <c r="J122" s="1476">
        <f>IF($E$122&gt;=0,0,"F20.7,c10&gt;=0")</f>
        <v>0</v>
      </c>
      <c r="K122" s="1476">
        <f t="shared" si="9"/>
        <v>0</v>
      </c>
      <c r="L122" s="1476">
        <f t="shared" si="10"/>
        <v>0</v>
      </c>
      <c r="M122" s="1832">
        <f>IF($E$11="Y", IF(E122='6'!E34,0,"{F 06.01, c010} = sum({F 20.07.1, c010, (sNNN)})"),0)</f>
        <v>0</v>
      </c>
      <c r="N122" s="1840">
        <f>IF($E$11="Y", IF(G122='6'!G34,0,"{F 06.01, c012} = sum({F 20.07.1, c012, (sNNN)})"),0)</f>
        <v>0</v>
      </c>
      <c r="O122" s="1840">
        <f>IF($E$11="Y", IF(H122='6'!H34,0,"{F 06.01, c021} = sum({F 20.07.1, c021, (sNNN)})"),0)</f>
        <v>0</v>
      </c>
      <c r="P122" s="1840">
        <f>IF($E$11="Y", IF(F122='6'!F34,0,"{F 06.01, c011} = sum({F 20.07.1, c011, (sNNN)})"),0)</f>
        <v>0</v>
      </c>
      <c r="Q122" s="1840">
        <f>IF($E$11="Y", IF(I122='6'!I34,0,"{F 06.01, c022} = sum({F 20.07.1, c022, (sNNN)})"),0)</f>
        <v>0</v>
      </c>
    </row>
    <row r="123" spans="1:17">
      <c r="A123" s="1156" t="str">
        <f t="shared" si="8"/>
        <v>F-20.07.1_190</v>
      </c>
      <c r="B123" s="810">
        <v>190</v>
      </c>
      <c r="C123" s="811" t="s">
        <v>473</v>
      </c>
      <c r="D123" s="812" t="s">
        <v>1576</v>
      </c>
      <c r="E123" s="857">
        <f>SUM(E$104:E$122)</f>
        <v>0</v>
      </c>
      <c r="F123" s="857">
        <f>SUM(F$104:F$122)</f>
        <v>0</v>
      </c>
      <c r="G123" s="857">
        <f>SUM($G$104:$G$122)</f>
        <v>0</v>
      </c>
      <c r="H123" s="1787">
        <f>SUM($H$104:$H$122)</f>
        <v>0</v>
      </c>
      <c r="I123" s="1787">
        <f>SUM($I$104:$I$122)</f>
        <v>0</v>
      </c>
      <c r="J123" s="1476">
        <f>IF($E$123&gt;=0,0,"F20.7,c10&gt;=0")</f>
        <v>0</v>
      </c>
      <c r="K123" s="1476">
        <f t="shared" si="9"/>
        <v>0</v>
      </c>
      <c r="L123" s="1476">
        <f t="shared" si="10"/>
        <v>0</v>
      </c>
      <c r="M123" s="1832">
        <f>IF($E$11="Y", IF(E123='6'!E35,0,"{F 06.01, c010} = sum({F 20.07.1, c010, (sNNN)})"),0)</f>
        <v>0</v>
      </c>
      <c r="N123" s="1840">
        <f>IF($E$11="Y", IF(G123='6'!G35,0,"{F 06.01, c012} = sum({F 20.07.1, c012, (sNNN)})"),0)</f>
        <v>0</v>
      </c>
      <c r="O123" s="1840">
        <f>IF($E$11="Y", IF(H123='6'!H35,0,"{F 06.01, c021} = sum({F 20.07.1, c021, (sNNN)})"),0)</f>
        <v>0</v>
      </c>
      <c r="P123" s="1840">
        <f>IF($E$11="Y", IF(F123='6'!F35,0,"{F 06.01, c011} = sum({F 20.07.1, c011, (sNNN)})"),0)</f>
        <v>0</v>
      </c>
      <c r="Q123" s="1840">
        <f>IF($E$11="Y", IF(I123='6'!I35,0,"{F 06.01, c022} = sum({F 20.07.1, c022, (sNNN)})"),0)</f>
        <v>0</v>
      </c>
    </row>
    <row r="124" spans="1:17" ht="56.25" customHeight="1">
      <c r="A124" s="1100" t="s">
        <v>718</v>
      </c>
      <c r="C124" s="793"/>
      <c r="F124" s="1765">
        <f>IF(F123=G35,0,"{F 20.04, r190, c012, sNNN}=={F 20.07.1, r190, c011, sNNN}")</f>
        <v>0</v>
      </c>
      <c r="G124" s="1765">
        <f>IF(G123=I35,0,"{F 20.04, r190, c025, sNNN}=={F 20.07.1, r190, c012, sNNN}")</f>
        <v>0</v>
      </c>
      <c r="H124" s="1765">
        <f>IF(H123=J35,0,"{F 20.04, r190, c031, sNNN}=={F 20.07.1, r190, c021, sNNN}")</f>
        <v>0</v>
      </c>
      <c r="I124" s="1765">
        <f>IF(I123=K35,0,"{F 20.04, r190, c040, sNNN}=={F 20.07.1, r190, c022, sNNN}")</f>
        <v>0</v>
      </c>
      <c r="L124" s="1476"/>
    </row>
    <row r="125" spans="1:17">
      <c r="A125" s="1156" t="s">
        <v>724</v>
      </c>
      <c r="L125" s="1476"/>
    </row>
    <row r="129" spans="1:1">
      <c r="A129" s="1100"/>
    </row>
    <row r="131" spans="1:1">
      <c r="A131" s="1100"/>
    </row>
    <row r="137" spans="1:1">
      <c r="A137" s="1100"/>
    </row>
    <row r="139" spans="1:1">
      <c r="A139" s="1096"/>
    </row>
    <row r="140" spans="1:1">
      <c r="A140" s="1096"/>
    </row>
    <row r="141" spans="1:1">
      <c r="A141" s="1096"/>
    </row>
    <row r="142" spans="1:1">
      <c r="A142" s="1100"/>
    </row>
    <row r="143" spans="1:1">
      <c r="A143" s="1100"/>
    </row>
    <row r="144" spans="1:1">
      <c r="A144" s="1100"/>
    </row>
    <row r="145" spans="1:1">
      <c r="A145" s="1100"/>
    </row>
    <row r="146" spans="1:1">
      <c r="A146" s="1100"/>
    </row>
    <row r="147" spans="1:1">
      <c r="A147" s="1100"/>
    </row>
    <row r="148" spans="1:1">
      <c r="A148" s="1100"/>
    </row>
  </sheetData>
  <sheetProtection password="C2F4" sheet="1" objects="1" scenarios="1"/>
  <mergeCells count="13">
    <mergeCell ref="D72:D74"/>
    <mergeCell ref="D99:D103"/>
    <mergeCell ref="E99:I99"/>
    <mergeCell ref="E100:E101"/>
    <mergeCell ref="H100:H101"/>
    <mergeCell ref="I100:I101"/>
    <mergeCell ref="D13:D16"/>
    <mergeCell ref="E13:E14"/>
    <mergeCell ref="J13:J14"/>
    <mergeCell ref="K13:K14"/>
    <mergeCell ref="D54:D57"/>
    <mergeCell ref="E54:E55"/>
    <mergeCell ref="H54:H55"/>
  </mergeCells>
  <conditionalFormatting sqref="F9">
    <cfRule type="cellIs" dxfId="1" priority="1" stopIfTrue="1" operator="greaterThan">
      <formula>0</formula>
    </cfRule>
  </conditionalFormatting>
  <dataValidations count="4">
    <dataValidation type="whole" allowBlank="1" showInputMessage="1" showErrorMessage="1" error="Wrong number format or sign" sqref="H104:I122 J31:K40 J25:K29">
      <formula1>-99999999</formula1>
      <formula2>0</formula2>
    </dataValidation>
    <dataValidation type="list" allowBlank="1" showInputMessage="1" showErrorMessage="1" sqref="D9">
      <formula1>Codes</formula1>
    </dataValidation>
    <dataValidation type="whole" allowBlank="1" showInputMessage="1" showErrorMessage="1" error="wrong number format or sign" sqref="H30:K30">
      <formula1>-99999999</formula1>
      <formula2>99999999</formula2>
    </dataValidation>
    <dataValidation type="whole" allowBlank="1" showInputMessage="1" showErrorMessage="1" error="wrong number format or sign" sqref="E75:E87 E58:E60 F58:H58 G59:H60 H31:I40 H123:I123 F24:K24 H25:I29 E17:E40 F17:G23 F25:G40 E104:G123">
      <formula1>0</formula1>
      <formula2>99999999</formula2>
    </dataValidation>
  </dataValidations>
  <printOptions horizontalCentered="1" headings="1" gridLines="1"/>
  <pageMargins left="0.19685039370078741" right="0.19685039370078741" top="0.23622047244094491" bottom="0.23622047244094491" header="0.15748031496062992" footer="0.15748031496062992"/>
  <pageSetup paperSize="9" scale="50" fitToHeight="2" orientation="landscape" cellComments="asDisplayed" r:id="rId1"/>
  <headerFooter scaleWithDoc="0" alignWithMargins="0"/>
  <rowBreaks count="1" manualBreakCount="1">
    <brk id="68" max="1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8"/>
  <sheetViews>
    <sheetView topLeftCell="B6" zoomScaleNormal="100" zoomScaleSheetLayoutView="100" workbookViewId="0">
      <selection activeCell="B6" sqref="B6"/>
    </sheetView>
  </sheetViews>
  <sheetFormatPr defaultColWidth="9.140625" defaultRowHeight="12.75"/>
  <cols>
    <col min="1" max="1" width="13.5703125" style="1156" hidden="1" customWidth="1"/>
    <col min="2" max="2" width="5.5703125" style="671" customWidth="1"/>
    <col min="3" max="3" width="76.7109375" style="671" customWidth="1"/>
    <col min="4" max="4" width="29.7109375" style="671" customWidth="1"/>
    <col min="5" max="5" width="13" style="671" customWidth="1"/>
    <col min="6" max="6" width="15.42578125" style="671" customWidth="1"/>
    <col min="7" max="7" width="15" style="671" customWidth="1"/>
    <col min="8" max="9" width="16" style="671" customWidth="1"/>
    <col min="10" max="11" width="19.28515625" style="671" customWidth="1"/>
    <col min="12" max="19" width="14.7109375" style="671" customWidth="1"/>
    <col min="20" max="20" width="40" style="671" customWidth="1"/>
    <col min="21" max="16384" width="9.140625" style="671"/>
  </cols>
  <sheetData>
    <row r="1" spans="1:15" s="1097" customFormat="1" ht="18" hidden="1" customHeight="1">
      <c r="A1" s="1096" t="s">
        <v>1261</v>
      </c>
      <c r="B1" s="1118">
        <v>2</v>
      </c>
      <c r="C1" s="1118">
        <v>1</v>
      </c>
      <c r="D1" s="1119">
        <v>16</v>
      </c>
      <c r="E1" s="1182">
        <v>5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15" s="1097" customFormat="1" ht="18" hidden="1" customHeight="1">
      <c r="A2" s="1096" t="str">
        <f>Index!$A$2</f>
        <v>V20181222</v>
      </c>
      <c r="B2" s="1098"/>
      <c r="C2" s="1099"/>
      <c r="D2" s="1100"/>
      <c r="E2" s="1100" t="str">
        <f>$A$1&amp;"_"&amp;E16</f>
        <v>F-20.04_010</v>
      </c>
      <c r="F2" s="1100" t="str">
        <f t="shared" ref="F2:K2" si="0">$A$1&amp;"_"&amp;F16</f>
        <v>F-20.04_011</v>
      </c>
      <c r="G2" s="1100" t="str">
        <f t="shared" si="0"/>
        <v>F-20.04_012</v>
      </c>
      <c r="H2" s="1100" t="str">
        <f t="shared" si="0"/>
        <v>F-20.04_022</v>
      </c>
      <c r="I2" s="1100" t="str">
        <f t="shared" si="0"/>
        <v>F-20.04_025</v>
      </c>
      <c r="J2" s="1100" t="str">
        <f t="shared" si="0"/>
        <v>F-20.04_031</v>
      </c>
      <c r="K2" s="1100" t="str">
        <f t="shared" si="0"/>
        <v>F-20.04_040</v>
      </c>
      <c r="L2" s="1100"/>
      <c r="M2" s="1100"/>
      <c r="N2" s="1100"/>
      <c r="O2" s="1101"/>
    </row>
    <row r="3" spans="1:15" s="1097" customFormat="1" ht="18" hidden="1" customHeight="1">
      <c r="A3" s="1096" t="str">
        <f>"R:A1:P"&amp;ROW(A125)+1</f>
        <v>R:A1:P126</v>
      </c>
      <c r="B3" s="1102"/>
      <c r="C3" s="1103"/>
      <c r="D3" s="1104"/>
      <c r="E3" s="1105"/>
      <c r="F3" s="1106"/>
      <c r="G3" s="1107"/>
      <c r="H3" s="1107"/>
      <c r="I3" s="1107"/>
      <c r="J3" s="1107"/>
      <c r="K3" s="1107"/>
      <c r="L3" s="1107"/>
    </row>
    <row r="4" spans="1:15" s="1097" customFormat="1" ht="18" hidden="1" customHeight="1">
      <c r="A4" s="1096"/>
      <c r="B4" s="1102"/>
      <c r="C4" s="1103"/>
      <c r="D4" s="1108"/>
      <c r="E4" s="1109"/>
      <c r="F4" s="1110" t="str">
        <f>D9</f>
        <v>CY</v>
      </c>
      <c r="G4" s="1111">
        <f>O5</f>
        <v>0</v>
      </c>
      <c r="H4" s="1107"/>
      <c r="I4" s="1107"/>
      <c r="J4" s="1107"/>
      <c r="K4" s="1107"/>
      <c r="L4" s="1107"/>
    </row>
    <row r="5" spans="1:15" s="1097" customFormat="1" ht="18" hidden="1" customHeight="1">
      <c r="A5" s="1096"/>
      <c r="B5" s="1102"/>
      <c r="C5" s="1103"/>
      <c r="D5" s="1112"/>
      <c r="E5" s="1113"/>
      <c r="F5" s="1114"/>
      <c r="O5" s="1097">
        <f>COUNTIF(L17:T41,"&lt;&gt;0")-COUNTBLANK(L17:T41)+COUNTIF(E41:K44,"&lt;&gt;0")-COUNTBLANK(E41:K44)</f>
        <v>0</v>
      </c>
    </row>
    <row r="6" spans="1:15" s="1116" customFormat="1">
      <c r="A6" s="1100" t="s">
        <v>718</v>
      </c>
      <c r="B6" s="1115"/>
    </row>
    <row r="7" spans="1:15">
      <c r="A7" s="1100" t="s">
        <v>718</v>
      </c>
      <c r="B7" s="708" t="s">
        <v>717</v>
      </c>
    </row>
    <row r="8" spans="1:15">
      <c r="A8" s="1100" t="s">
        <v>718</v>
      </c>
      <c r="B8" s="671" t="s">
        <v>1227</v>
      </c>
      <c r="C8" s="709"/>
      <c r="D8" s="710"/>
      <c r="E8" s="710"/>
      <c r="F8" s="710"/>
      <c r="G8" s="710"/>
    </row>
    <row r="9" spans="1:15" s="1160" customFormat="1" ht="30" customHeight="1">
      <c r="A9" s="1100" t="s">
        <v>718</v>
      </c>
      <c r="B9" s="1159"/>
      <c r="C9" s="1157" t="s">
        <v>1226</v>
      </c>
      <c r="D9" s="1945" t="s">
        <v>878</v>
      </c>
      <c r="E9" s="1158" t="s">
        <v>1262</v>
      </c>
      <c r="F9" s="1158">
        <f>G4+G49+G66+G93+IF(G9&lt;&gt;"",1,0)</f>
        <v>0</v>
      </c>
      <c r="G9" s="1478" t="str">
        <f>IF(ISERROR(VLOOKUP(D9,Codes,1,)),"ERROR: SELECT COUNTRY FROM ALLOWED LIST","")</f>
        <v/>
      </c>
    </row>
    <row r="10" spans="1:15">
      <c r="A10" s="1100" t="s">
        <v>718</v>
      </c>
      <c r="B10" s="792"/>
      <c r="C10" s="709"/>
      <c r="D10" s="710"/>
      <c r="E10" s="710"/>
      <c r="F10" s="710"/>
    </row>
    <row r="11" spans="1:15">
      <c r="A11" s="1100" t="s">
        <v>718</v>
      </c>
      <c r="B11" s="711" t="s">
        <v>583</v>
      </c>
      <c r="C11" s="792"/>
      <c r="D11" s="1764"/>
      <c r="E11" s="1229"/>
      <c r="F11" s="710"/>
    </row>
    <row r="12" spans="1:15">
      <c r="A12" s="1100" t="s">
        <v>718</v>
      </c>
      <c r="B12" s="711"/>
      <c r="C12" s="792"/>
      <c r="D12" s="710"/>
      <c r="E12" s="1464"/>
      <c r="F12" s="1519"/>
      <c r="G12" s="1519"/>
    </row>
    <row r="13" spans="1:15" ht="22.5" customHeight="1">
      <c r="A13" s="1100" t="s">
        <v>718</v>
      </c>
      <c r="B13" s="795"/>
      <c r="C13" s="753"/>
      <c r="D13" s="2110" t="s">
        <v>551</v>
      </c>
      <c r="E13" s="2113" t="s">
        <v>181</v>
      </c>
      <c r="F13" s="1520"/>
      <c r="G13" s="1520"/>
      <c r="H13" s="1521"/>
      <c r="I13" s="1521"/>
      <c r="J13" s="2115" t="s">
        <v>149</v>
      </c>
      <c r="K13" s="2115" t="s">
        <v>1727</v>
      </c>
    </row>
    <row r="14" spans="1:15" ht="42" customHeight="1">
      <c r="A14" s="1100"/>
      <c r="B14" s="800"/>
      <c r="C14" s="716"/>
      <c r="D14" s="2111"/>
      <c r="E14" s="2114"/>
      <c r="F14" s="1515" t="s">
        <v>1719</v>
      </c>
      <c r="G14" s="1515" t="s">
        <v>1720</v>
      </c>
      <c r="H14" s="1515" t="s">
        <v>698</v>
      </c>
      <c r="I14" s="1522" t="s">
        <v>1724</v>
      </c>
      <c r="J14" s="2114"/>
      <c r="K14" s="2114"/>
    </row>
    <row r="15" spans="1:15" ht="31.5">
      <c r="A15" s="1100" t="s">
        <v>718</v>
      </c>
      <c r="B15" s="800"/>
      <c r="C15" s="716"/>
      <c r="D15" s="2111"/>
      <c r="E15" s="1518" t="s">
        <v>1728</v>
      </c>
      <c r="F15" s="584" t="s">
        <v>1721</v>
      </c>
      <c r="G15" s="584" t="s">
        <v>1722</v>
      </c>
      <c r="H15" s="584" t="s">
        <v>1725</v>
      </c>
      <c r="I15" s="584" t="s">
        <v>1725</v>
      </c>
      <c r="J15" s="1753" t="s">
        <v>1726</v>
      </c>
      <c r="K15" s="1753" t="s">
        <v>1726</v>
      </c>
    </row>
    <row r="16" spans="1:15">
      <c r="A16" s="1100" t="s">
        <v>718</v>
      </c>
      <c r="B16" s="802"/>
      <c r="C16" s="719"/>
      <c r="D16" s="2112"/>
      <c r="E16" s="755" t="s">
        <v>292</v>
      </c>
      <c r="F16" s="1517" t="s">
        <v>1723</v>
      </c>
      <c r="G16" s="1517" t="s">
        <v>695</v>
      </c>
      <c r="H16" s="1517" t="s">
        <v>699</v>
      </c>
      <c r="I16" s="1517" t="s">
        <v>700</v>
      </c>
      <c r="J16" s="755" t="s">
        <v>2248</v>
      </c>
      <c r="K16" s="755" t="s">
        <v>295</v>
      </c>
    </row>
    <row r="17" spans="1:20" ht="21">
      <c r="A17" s="1156" t="str">
        <f t="shared" ref="A17:A40" si="1">$A$1&amp;"_"&amp;B17</f>
        <v>F-20.04_010</v>
      </c>
      <c r="B17" s="756" t="s">
        <v>292</v>
      </c>
      <c r="C17" s="757" t="s">
        <v>121</v>
      </c>
      <c r="D17" s="1509" t="s">
        <v>1708</v>
      </c>
      <c r="E17" s="928"/>
      <c r="F17" s="928"/>
      <c r="G17" s="928"/>
      <c r="H17" s="845"/>
      <c r="I17" s="845"/>
      <c r="J17" s="758"/>
      <c r="K17" s="758"/>
      <c r="L17" s="1816"/>
      <c r="M17" s="1816">
        <f>IF($E$17&gt;=SUM($E$18:$E$19),0,"c10(r10&gt;=sum(r20-30))")</f>
        <v>0</v>
      </c>
      <c r="N17" s="1816">
        <f>IF($F$17&gt;=SUM($F$18:$F$19),0,"c11(r10&gt;=sum(r20-30))")</f>
        <v>0</v>
      </c>
      <c r="O17" s="1816">
        <f>IF($G$17&gt;=SUM($G$18:$G$19),0,"c12(r10&gt;=sum(r20-30))")</f>
        <v>0</v>
      </c>
      <c r="P17" s="1816">
        <f>IF($F$17&gt;=0,0,"F20.4,c11&gt;=0")</f>
        <v>0</v>
      </c>
      <c r="Q17" s="1816">
        <f>IF($G$17&gt;=0,0,"F20.4,c12&gt;=0")</f>
        <v>0</v>
      </c>
    </row>
    <row r="18" spans="1:20">
      <c r="A18" s="1156" t="str">
        <f t="shared" si="1"/>
        <v>F-20.04_020</v>
      </c>
      <c r="B18" s="759" t="s">
        <v>293</v>
      </c>
      <c r="C18" s="760" t="s">
        <v>413</v>
      </c>
      <c r="D18" s="82" t="s">
        <v>1709</v>
      </c>
      <c r="E18" s="929"/>
      <c r="F18" s="929"/>
      <c r="G18" s="929"/>
      <c r="H18" s="846"/>
      <c r="I18" s="846"/>
      <c r="J18" s="761"/>
      <c r="K18" s="761"/>
      <c r="L18" s="1816"/>
      <c r="N18" s="1816">
        <f>IF($E$17&gt;=0,0,"F20.4,c10&gt;=0")</f>
        <v>0</v>
      </c>
      <c r="P18" s="1816">
        <f>IF($F$18&gt;=0,0,"F20.4,c11&gt;=0")</f>
        <v>0</v>
      </c>
      <c r="Q18" s="1816">
        <f>IF($G$18&gt;=0,0,"F20.4,c12&gt;=0")</f>
        <v>0</v>
      </c>
    </row>
    <row r="19" spans="1:20">
      <c r="A19" s="1156" t="str">
        <f t="shared" si="1"/>
        <v>F-20.04_030</v>
      </c>
      <c r="B19" s="759" t="s">
        <v>294</v>
      </c>
      <c r="C19" s="760" t="s">
        <v>414</v>
      </c>
      <c r="D19" s="82" t="s">
        <v>1710</v>
      </c>
      <c r="E19" s="929"/>
      <c r="F19" s="929"/>
      <c r="G19" s="929"/>
      <c r="H19" s="846"/>
      <c r="I19" s="846"/>
      <c r="J19" s="761"/>
      <c r="K19" s="761"/>
      <c r="L19" s="1816"/>
      <c r="N19" s="1816">
        <f>IF($E$18&gt;=0,0,"F20.4,c10&gt;=0")</f>
        <v>0</v>
      </c>
      <c r="P19" s="1816">
        <f>IF($F$19&gt;=0,0,"F20.4,c11&gt;=0")</f>
        <v>0</v>
      </c>
      <c r="Q19" s="1816">
        <f>IF($G$19&gt;=0,0,"F20.4,c12&gt;=0")</f>
        <v>0</v>
      </c>
    </row>
    <row r="20" spans="1:20">
      <c r="A20" s="1156" t="str">
        <f t="shared" si="1"/>
        <v>F-20.04_040</v>
      </c>
      <c r="B20" s="762" t="s">
        <v>295</v>
      </c>
      <c r="C20" s="763" t="s">
        <v>59</v>
      </c>
      <c r="D20" s="1510" t="s">
        <v>60</v>
      </c>
      <c r="E20" s="930"/>
      <c r="F20" s="930"/>
      <c r="G20" s="930"/>
      <c r="H20" s="846"/>
      <c r="I20" s="846"/>
      <c r="J20" s="761"/>
      <c r="K20" s="761"/>
      <c r="L20" s="1816"/>
      <c r="M20" s="1816">
        <f>IF($E$20&gt;=SUM($E$21:$E$23),0,"c10(r40&gt;=sum(r50-70))")</f>
        <v>0</v>
      </c>
      <c r="N20" s="1816">
        <f>IF($E$19&gt;=0,0,"F20.4,c10&gt;=0")</f>
        <v>0</v>
      </c>
      <c r="P20" s="1816">
        <f>IF($F$20&gt;=0,0,"F20.4,c11&gt;=0")</f>
        <v>0</v>
      </c>
      <c r="Q20" s="1816">
        <f>IF($G$20&gt;=0,0,"F20.4,c12&gt;=0")</f>
        <v>0</v>
      </c>
      <c r="T20" s="1832">
        <f>IF($E$11="Y", IF(E20='1.1'!F20+'1.1'!F24+'1.1'!F31,0,"sum({F 20.04, r040, c010, (sNNN)}) = sum({F 01.01, (r070, r097, r142), c010})"),0)</f>
        <v>0</v>
      </c>
    </row>
    <row r="21" spans="1:20">
      <c r="A21" s="1156" t="str">
        <f t="shared" si="1"/>
        <v>F-20.04_050</v>
      </c>
      <c r="B21" s="762" t="s">
        <v>296</v>
      </c>
      <c r="C21" s="760" t="s">
        <v>413</v>
      </c>
      <c r="D21" s="82" t="s">
        <v>1709</v>
      </c>
      <c r="E21" s="931"/>
      <c r="F21" s="931"/>
      <c r="G21" s="931"/>
      <c r="H21" s="847"/>
      <c r="I21" s="847"/>
      <c r="J21" s="764"/>
      <c r="K21" s="764"/>
      <c r="L21" s="1816"/>
      <c r="M21" s="1816">
        <f>IF($F$20&gt;=SUM($F$21:$F$23),0,"c11(r40&gt;=sum(r50-70))")</f>
        <v>0</v>
      </c>
      <c r="N21" s="1816">
        <f>IF($E$20&gt;=0,0,"F20.4,c10&gt;=0")</f>
        <v>0</v>
      </c>
      <c r="P21" s="1816">
        <f>IF($F$21&gt;=0,0,"F20.4,c11&gt;=0")</f>
        <v>0</v>
      </c>
      <c r="Q21" s="1816">
        <f>IF($G$21&gt;=0,0,"F20.4,c12&gt;=0")</f>
        <v>0</v>
      </c>
      <c r="T21" s="792"/>
    </row>
    <row r="22" spans="1:20">
      <c r="A22" s="1156" t="str">
        <f t="shared" si="1"/>
        <v>F-20.04_060</v>
      </c>
      <c r="B22" s="762" t="s">
        <v>297</v>
      </c>
      <c r="C22" s="760" t="s">
        <v>414</v>
      </c>
      <c r="D22" s="82" t="s">
        <v>1710</v>
      </c>
      <c r="E22" s="932"/>
      <c r="F22" s="932"/>
      <c r="G22" s="932"/>
      <c r="H22" s="848"/>
      <c r="I22" s="848"/>
      <c r="J22" s="765"/>
      <c r="K22" s="765"/>
      <c r="L22" s="1816"/>
      <c r="M22" s="1816">
        <f>IF($G$20&gt;=SUM($G$21:$G$23),0,"c12(r40&gt;=sum(r50-70))")</f>
        <v>0</v>
      </c>
      <c r="N22" s="1816">
        <f>IF($E$21&gt;=0,0,"F20.4,c10&gt;=0")</f>
        <v>0</v>
      </c>
      <c r="P22" s="1816">
        <f>IF($F$22&gt;=0,0,"F20.4,c11&gt;=0")</f>
        <v>0</v>
      </c>
      <c r="Q22" s="1816">
        <f>IF($G$22&gt;=0,0,"F20.4,c12&gt;=0")</f>
        <v>0</v>
      </c>
      <c r="T22" s="792"/>
    </row>
    <row r="23" spans="1:20">
      <c r="A23" s="1156" t="str">
        <f t="shared" si="1"/>
        <v>F-20.04_070</v>
      </c>
      <c r="B23" s="762" t="s">
        <v>298</v>
      </c>
      <c r="C23" s="766" t="s">
        <v>705</v>
      </c>
      <c r="D23" s="82" t="s">
        <v>1711</v>
      </c>
      <c r="E23" s="932"/>
      <c r="F23" s="932"/>
      <c r="G23" s="932"/>
      <c r="H23" s="848"/>
      <c r="I23" s="848"/>
      <c r="J23" s="765"/>
      <c r="K23" s="765"/>
      <c r="L23" s="1816"/>
      <c r="N23" s="1816">
        <f>IF($E$22&gt;=0,0,"F20.4,c10&gt;=0")</f>
        <v>0</v>
      </c>
      <c r="P23" s="1816">
        <f>IF($F$23&gt;=0,0,"F20.4,c11&gt;=0")</f>
        <v>0</v>
      </c>
      <c r="Q23" s="1816">
        <f>IF($G$23&gt;=0,0,"F20.4,c12&gt;=0")</f>
        <v>0</v>
      </c>
      <c r="T23" s="792"/>
    </row>
    <row r="24" spans="1:20">
      <c r="A24" s="1156" t="str">
        <f t="shared" si="1"/>
        <v>F-20.04_080</v>
      </c>
      <c r="B24" s="767" t="s">
        <v>299</v>
      </c>
      <c r="C24" s="763" t="s">
        <v>55</v>
      </c>
      <c r="D24" s="14" t="s">
        <v>1712</v>
      </c>
      <c r="E24" s="957">
        <f t="shared" ref="E24:K24" si="2">SUM(E$25+E$26+E$27+E$28+E$29)</f>
        <v>0</v>
      </c>
      <c r="F24" s="957">
        <f t="shared" si="2"/>
        <v>0</v>
      </c>
      <c r="G24" s="957">
        <f t="shared" si="2"/>
        <v>0</v>
      </c>
      <c r="H24" s="957">
        <f t="shared" si="2"/>
        <v>0</v>
      </c>
      <c r="I24" s="957">
        <f t="shared" si="2"/>
        <v>0</v>
      </c>
      <c r="J24" s="1781">
        <f t="shared" si="2"/>
        <v>0</v>
      </c>
      <c r="K24" s="1781">
        <f t="shared" si="2"/>
        <v>0</v>
      </c>
      <c r="L24" s="1816">
        <f>IF($E$24&gt;=$H$24,0,"C10&gt;=c22")</f>
        <v>0</v>
      </c>
      <c r="M24" s="1816">
        <f>IF($E$24&gt;=SUM($E$25:$E$29),0,"c10(r80&gt;=sum(r90-130))")</f>
        <v>0</v>
      </c>
      <c r="N24" s="1816">
        <f>IF($E$23&gt;=0,0,"F20.4,c10&gt;=0")</f>
        <v>0</v>
      </c>
      <c r="O24" s="1816">
        <f>IF($I$24&lt;=$E$24,0,"c25&lt;=c10")</f>
        <v>0</v>
      </c>
      <c r="P24" s="1816">
        <f>IF($F$24&gt;=0,0,"F20.4,c11&gt;=0")</f>
        <v>0</v>
      </c>
      <c r="Q24" s="1816">
        <f>IF($G$24&gt;=0,0,"F20.4,c12&gt;=0")</f>
        <v>0</v>
      </c>
      <c r="R24" s="1816">
        <f>IF(J24&lt;=0,0,"F20.4,c031&lt;=0")</f>
        <v>0</v>
      </c>
      <c r="S24" s="1816">
        <f>IF(K24&lt;=0,0,"F20.4,c040&lt;=0")</f>
        <v>0</v>
      </c>
      <c r="T24" s="1832">
        <f t="shared" ref="T24:T40" si="3">IF(J24&lt;&gt;0,IF(E24&lt;=0,"if {c031} != 0 then {c010} &gt; 0",0),0)</f>
        <v>0</v>
      </c>
    </row>
    <row r="25" spans="1:20">
      <c r="A25" s="1156" t="str">
        <f t="shared" si="1"/>
        <v>F-20.04_090</v>
      </c>
      <c r="B25" s="762" t="s">
        <v>300</v>
      </c>
      <c r="C25" s="768" t="s">
        <v>99</v>
      </c>
      <c r="D25" s="82" t="s">
        <v>1713</v>
      </c>
      <c r="E25" s="932"/>
      <c r="F25" s="932"/>
      <c r="G25" s="932"/>
      <c r="H25" s="931"/>
      <c r="I25" s="931"/>
      <c r="J25" s="1380"/>
      <c r="K25" s="1380"/>
      <c r="L25" s="1816">
        <f>IF($E$25&gt;=$H$25,0,"C10&gt;=c22")</f>
        <v>0</v>
      </c>
      <c r="N25" s="1816">
        <f>IF($E$24&gt;=0,0,"F20.4,c10&gt;=0")</f>
        <v>0</v>
      </c>
      <c r="O25" s="1816">
        <f>IF($I$25&lt;=$E$25,0,"c25&lt;=c10")</f>
        <v>0</v>
      </c>
      <c r="P25" s="1816">
        <f>IF($F$25&gt;=0,0,"F20.4,c11&gt;=0")</f>
        <v>0</v>
      </c>
      <c r="Q25" s="1816">
        <f>IF($G$25&gt;=0,0,"F20.4,c12&gt;=0")</f>
        <v>0</v>
      </c>
      <c r="R25" s="1816">
        <f t="shared" ref="R25:R40" si="4">IF($J25&lt;=0,0,"F20.4,c031&lt;=0")</f>
        <v>0</v>
      </c>
      <c r="S25" s="1816">
        <f t="shared" ref="S25:S40" si="5">IF(K25&lt;=0,0,"F20.4,c040&lt;=0")</f>
        <v>0</v>
      </c>
      <c r="T25" s="1832">
        <f t="shared" si="3"/>
        <v>0</v>
      </c>
    </row>
    <row r="26" spans="1:20">
      <c r="A26" s="1156" t="str">
        <f t="shared" si="1"/>
        <v>F-20.04_100</v>
      </c>
      <c r="B26" s="767">
        <v>100</v>
      </c>
      <c r="C26" s="768" t="s">
        <v>100</v>
      </c>
      <c r="D26" s="82" t="s">
        <v>1714</v>
      </c>
      <c r="E26" s="931"/>
      <c r="F26" s="931"/>
      <c r="G26" s="931"/>
      <c r="H26" s="931"/>
      <c r="I26" s="931"/>
      <c r="J26" s="1380"/>
      <c r="K26" s="1380"/>
      <c r="L26" s="1816">
        <f>IF($E$26&gt;=$H$26,0,"C10&gt;=c22")</f>
        <v>0</v>
      </c>
      <c r="M26" s="1816">
        <f>IF($H$24&gt;=SUM($H$25:$H$29),0,"c22(r80&gt;=sum(r90-130))")</f>
        <v>0</v>
      </c>
      <c r="N26" s="1816">
        <f>IF($E$25&gt;=0,0,"F20.4,c10&gt;=0")</f>
        <v>0</v>
      </c>
      <c r="O26" s="1816">
        <f>IF($I$26&lt;=$E$26,0,"c25&lt;=c10")</f>
        <v>0</v>
      </c>
      <c r="P26" s="1816">
        <f>IF($F$26&gt;=0,0,"F20.4,c11&gt;=0")</f>
        <v>0</v>
      </c>
      <c r="Q26" s="1816">
        <f>IF($G$26&gt;=0,0,"F20.4,c12&gt;=0")</f>
        <v>0</v>
      </c>
      <c r="R26" s="1816">
        <f t="shared" si="4"/>
        <v>0</v>
      </c>
      <c r="S26" s="1816">
        <f t="shared" si="5"/>
        <v>0</v>
      </c>
      <c r="T26" s="1832">
        <f t="shared" si="3"/>
        <v>0</v>
      </c>
    </row>
    <row r="27" spans="1:20">
      <c r="A27" s="1156" t="str">
        <f t="shared" si="1"/>
        <v>F-20.04_110</v>
      </c>
      <c r="B27" s="767">
        <v>110</v>
      </c>
      <c r="C27" s="768" t="s">
        <v>101</v>
      </c>
      <c r="D27" s="82" t="s">
        <v>1709</v>
      </c>
      <c r="E27" s="932"/>
      <c r="F27" s="932"/>
      <c r="G27" s="932"/>
      <c r="H27" s="931"/>
      <c r="I27" s="931"/>
      <c r="J27" s="1380"/>
      <c r="K27" s="1380"/>
      <c r="L27" s="1816">
        <f>IF($E$27&gt;=$H$27,0,"C10&gt;=c22")</f>
        <v>0</v>
      </c>
      <c r="N27" s="1816">
        <f>IF($E$26&gt;=0,0,"F20.4,c10&gt;=0")</f>
        <v>0</v>
      </c>
      <c r="O27" s="1816">
        <f>IF($I$27&lt;=$E$27,0,"c25&lt;=c10")</f>
        <v>0</v>
      </c>
      <c r="P27" s="1816">
        <f>IF($F$27&gt;=0,0,"F20.4,c11&gt;=0")</f>
        <v>0</v>
      </c>
      <c r="Q27" s="1816">
        <f>IF($G$27&gt;=0,0,"F20.4,c12&gt;=0")</f>
        <v>0</v>
      </c>
      <c r="R27" s="1816">
        <f t="shared" si="4"/>
        <v>0</v>
      </c>
      <c r="S27" s="1816">
        <f t="shared" si="5"/>
        <v>0</v>
      </c>
      <c r="T27" s="1832">
        <f t="shared" si="3"/>
        <v>0</v>
      </c>
    </row>
    <row r="28" spans="1:20">
      <c r="A28" s="1156" t="str">
        <f t="shared" si="1"/>
        <v>F-20.04_120</v>
      </c>
      <c r="B28" s="767">
        <v>120</v>
      </c>
      <c r="C28" s="768" t="s">
        <v>102</v>
      </c>
      <c r="D28" s="82" t="s">
        <v>1710</v>
      </c>
      <c r="E28" s="932"/>
      <c r="F28" s="932"/>
      <c r="G28" s="932"/>
      <c r="H28" s="931"/>
      <c r="I28" s="931"/>
      <c r="J28" s="1380"/>
      <c r="K28" s="1380"/>
      <c r="L28" s="1816">
        <f>IF($E$28&gt;=$H$28,0,"C10&gt;=c22")</f>
        <v>0</v>
      </c>
      <c r="M28" s="1816">
        <f>IF($I$24&gt;=SUM($I$25:$I$29),0,"c25(r80&gt;=sum(r90-130))")</f>
        <v>0</v>
      </c>
      <c r="N28" s="1816">
        <f>IF($E$27&gt;=0,0,"F20.4,c10&gt;=0")</f>
        <v>0</v>
      </c>
      <c r="O28" s="1816">
        <f>IF($I$28&lt;=$E$28,0,"c25&lt;=c10")</f>
        <v>0</v>
      </c>
      <c r="P28" s="1816">
        <f>IF($F$28&gt;=0,0,"F20.4,c11&gt;=0")</f>
        <v>0</v>
      </c>
      <c r="Q28" s="1816">
        <f>IF($G$28&gt;=0,0,"F20.4,c12&gt;=0")</f>
        <v>0</v>
      </c>
      <c r="R28" s="1816">
        <f t="shared" si="4"/>
        <v>0</v>
      </c>
      <c r="S28" s="1816">
        <f t="shared" si="5"/>
        <v>0</v>
      </c>
      <c r="T28" s="1832">
        <f t="shared" si="3"/>
        <v>0</v>
      </c>
    </row>
    <row r="29" spans="1:20">
      <c r="A29" s="1156" t="str">
        <f t="shared" si="1"/>
        <v>F-20.04_130</v>
      </c>
      <c r="B29" s="767">
        <v>130</v>
      </c>
      <c r="C29" s="768" t="s">
        <v>704</v>
      </c>
      <c r="D29" s="69" t="s">
        <v>1711</v>
      </c>
      <c r="E29" s="932"/>
      <c r="F29" s="932"/>
      <c r="G29" s="932"/>
      <c r="H29" s="931"/>
      <c r="I29" s="931"/>
      <c r="J29" s="1380"/>
      <c r="K29" s="1380"/>
      <c r="L29" s="1816">
        <f>IF($E$29&gt;=$H$29,0,"C10&gt;=c22")</f>
        <v>0</v>
      </c>
      <c r="N29" s="1816">
        <f>IF($E$28&gt;=0,0,"F20.4,c10&gt;=0")</f>
        <v>0</v>
      </c>
      <c r="O29" s="1816">
        <f>IF($I$29&lt;=$E$29,0,"c25&lt;=c10")</f>
        <v>0</v>
      </c>
      <c r="P29" s="1816">
        <f>IF($F$29&gt;=0,0,"F20.4,c11&gt;=0")</f>
        <v>0</v>
      </c>
      <c r="Q29" s="1816">
        <f>IF($G$29&gt;=0,0,"F20.4,c12&gt;=0")</f>
        <v>0</v>
      </c>
      <c r="R29" s="1816">
        <f t="shared" si="4"/>
        <v>0</v>
      </c>
      <c r="S29" s="1816">
        <f t="shared" si="5"/>
        <v>0</v>
      </c>
      <c r="T29" s="1832">
        <f t="shared" si="3"/>
        <v>0</v>
      </c>
    </row>
    <row r="30" spans="1:20">
      <c r="A30" s="1156" t="str">
        <f t="shared" si="1"/>
        <v>F-20.04_140</v>
      </c>
      <c r="B30" s="767">
        <v>140</v>
      </c>
      <c r="C30" s="763" t="s">
        <v>61</v>
      </c>
      <c r="D30" s="14" t="s">
        <v>1715</v>
      </c>
      <c r="E30" s="957">
        <f>SUM($E$31+$E$32+$E$33+$E$34+$E$35+$E$38)</f>
        <v>0</v>
      </c>
      <c r="F30" s="957">
        <f>SUM($F$31+$F$32+$F$33+$F$34+$F$35+$F$38)</f>
        <v>0</v>
      </c>
      <c r="G30" s="957">
        <f>SUM($G$31+$G$32+$G$33+$G$34+$G$35+$G$38)</f>
        <v>0</v>
      </c>
      <c r="H30" s="957">
        <f>SUM($H$31+$H$32+$H$33+$H$34+$H$35+$H$38)</f>
        <v>0</v>
      </c>
      <c r="I30" s="957">
        <f>SUM(I$31+I$32+I$33+I$34+I$35+I$38)</f>
        <v>0</v>
      </c>
      <c r="J30" s="1785">
        <f>SUM(J$31+J$32+J$33+J$34+J$35+J$38)</f>
        <v>0</v>
      </c>
      <c r="K30" s="1785">
        <f>SUM(K$31+K$32+K$33+K$34+K$35+K$38)</f>
        <v>0</v>
      </c>
      <c r="L30" s="1816">
        <f>IF($E$30&gt;=$H$30,0,"C10&gt;=c22")</f>
        <v>0</v>
      </c>
      <c r="N30" s="1816">
        <f>IF($E$29&gt;=0,0,"F20.4,c10&gt;=0")</f>
        <v>0</v>
      </c>
      <c r="O30" s="1816">
        <f>IF($I$30&lt;=$E$30,0,"c25&lt;=c10")</f>
        <v>0</v>
      </c>
      <c r="P30" s="1816">
        <f>IF($F$30&gt;=0,0,"F20.4,c11&gt;=0")</f>
        <v>0</v>
      </c>
      <c r="Q30" s="1816">
        <f>IF($G$30&gt;=0,0,"F20.4,c12&gt;=0")</f>
        <v>0</v>
      </c>
      <c r="R30" s="1816">
        <f t="shared" si="4"/>
        <v>0</v>
      </c>
      <c r="S30" s="1816">
        <f t="shared" si="5"/>
        <v>0</v>
      </c>
      <c r="T30" s="1832">
        <f t="shared" si="3"/>
        <v>0</v>
      </c>
    </row>
    <row r="31" spans="1:20">
      <c r="A31" s="1156" t="str">
        <f t="shared" si="1"/>
        <v>F-20.04_150</v>
      </c>
      <c r="B31" s="767">
        <v>150</v>
      </c>
      <c r="C31" s="768" t="s">
        <v>99</v>
      </c>
      <c r="D31" s="82" t="s">
        <v>1713</v>
      </c>
      <c r="E31" s="932"/>
      <c r="F31" s="932"/>
      <c r="G31" s="932"/>
      <c r="H31" s="931"/>
      <c r="I31" s="931"/>
      <c r="J31" s="1380"/>
      <c r="K31" s="1380"/>
      <c r="L31" s="1816">
        <f>IF($E$31&gt;=$H$31,0,"C10&gt;=c22")</f>
        <v>0</v>
      </c>
      <c r="N31" s="1816">
        <f>IF($E$30&gt;=0,0,"F20.4,c10&gt;=0")</f>
        <v>0</v>
      </c>
      <c r="O31" s="1816">
        <f>IF($I$31&lt;=$E$31,0,"c25&lt;=c10")</f>
        <v>0</v>
      </c>
      <c r="P31" s="1816">
        <f>IF($F$31&gt;=0,0,"F20.4,c11&gt;=0")</f>
        <v>0</v>
      </c>
      <c r="Q31" s="1816">
        <f>IF($G$31&gt;=0,0,"F20.4,c12&gt;=0")</f>
        <v>0</v>
      </c>
      <c r="R31" s="1816">
        <f t="shared" si="4"/>
        <v>0</v>
      </c>
      <c r="S31" s="1816">
        <f t="shared" si="5"/>
        <v>0</v>
      </c>
      <c r="T31" s="1832">
        <f t="shared" si="3"/>
        <v>0</v>
      </c>
    </row>
    <row r="32" spans="1:20">
      <c r="A32" s="1156" t="str">
        <f t="shared" si="1"/>
        <v>F-20.04_160</v>
      </c>
      <c r="B32" s="767">
        <v>160</v>
      </c>
      <c r="C32" s="768" t="s">
        <v>100</v>
      </c>
      <c r="D32" s="82" t="s">
        <v>1714</v>
      </c>
      <c r="E32" s="932"/>
      <c r="F32" s="932"/>
      <c r="G32" s="932"/>
      <c r="H32" s="931"/>
      <c r="I32" s="931"/>
      <c r="J32" s="1380"/>
      <c r="K32" s="1380"/>
      <c r="L32" s="1816">
        <f>IF($E$32&gt;=$H$32,0,"C10&gt;=c22")</f>
        <v>0</v>
      </c>
      <c r="N32" s="1816">
        <f>IF($E$31&gt;=0,0,"F20.4,c10&gt;=0")</f>
        <v>0</v>
      </c>
      <c r="O32" s="1816">
        <f>IF($I$32&lt;=$E$32,0,"c25&lt;=c10")</f>
        <v>0</v>
      </c>
      <c r="P32" s="1816">
        <f>IF($F$32&gt;=0,0,"F20.4,c11&gt;=0")</f>
        <v>0</v>
      </c>
      <c r="Q32" s="1816">
        <f>IF($G$32&gt;=0,0,"F20.4,c12&gt;=0")</f>
        <v>0</v>
      </c>
      <c r="R32" s="1816">
        <f t="shared" si="4"/>
        <v>0</v>
      </c>
      <c r="S32" s="1816">
        <f t="shared" si="5"/>
        <v>0</v>
      </c>
      <c r="T32" s="1832">
        <f t="shared" si="3"/>
        <v>0</v>
      </c>
    </row>
    <row r="33" spans="1:20">
      <c r="A33" s="1156" t="str">
        <f t="shared" si="1"/>
        <v>F-20.04_170</v>
      </c>
      <c r="B33" s="767">
        <v>170</v>
      </c>
      <c r="C33" s="768" t="s">
        <v>101</v>
      </c>
      <c r="D33" s="82" t="s">
        <v>1709</v>
      </c>
      <c r="E33" s="931"/>
      <c r="F33" s="931"/>
      <c r="G33" s="931"/>
      <c r="H33" s="931"/>
      <c r="I33" s="931"/>
      <c r="J33" s="1380"/>
      <c r="K33" s="1380"/>
      <c r="L33" s="1816">
        <f>IF($E$33&gt;=$H$33,0,"C10&gt;=c22")</f>
        <v>0</v>
      </c>
      <c r="N33" s="1816">
        <f>IF($E$32&gt;=0,0,"F20.4,c10&gt;=0")</f>
        <v>0</v>
      </c>
      <c r="O33" s="1816">
        <f>IF($I$33&lt;=$E$33,0,"c25&lt;=c10")</f>
        <v>0</v>
      </c>
      <c r="P33" s="1816">
        <f>IF($F$33&gt;=0,0,"F20.4,c11&gt;=0")</f>
        <v>0</v>
      </c>
      <c r="Q33" s="1816">
        <f>IF($G$33&gt;=0,0,"F20.4,c12&gt;=0")</f>
        <v>0</v>
      </c>
      <c r="R33" s="1816">
        <f t="shared" si="4"/>
        <v>0</v>
      </c>
      <c r="S33" s="1816">
        <f t="shared" si="5"/>
        <v>0</v>
      </c>
      <c r="T33" s="1832">
        <f t="shared" si="3"/>
        <v>0</v>
      </c>
    </row>
    <row r="34" spans="1:20">
      <c r="A34" s="1156" t="str">
        <f t="shared" si="1"/>
        <v>F-20.04_180</v>
      </c>
      <c r="B34" s="767">
        <v>180</v>
      </c>
      <c r="C34" s="768" t="s">
        <v>102</v>
      </c>
      <c r="D34" s="82" t="s">
        <v>1710</v>
      </c>
      <c r="E34" s="932"/>
      <c r="F34" s="932"/>
      <c r="G34" s="932"/>
      <c r="H34" s="931"/>
      <c r="I34" s="931"/>
      <c r="J34" s="1380"/>
      <c r="K34" s="1380"/>
      <c r="L34" s="1816">
        <f>IF($E$34&gt;=$H$34,0,"C10&gt;=c22")</f>
        <v>0</v>
      </c>
      <c r="N34" s="1816">
        <f>IF($E$33&gt;=0,0,"F20.4,c10&gt;=0")</f>
        <v>0</v>
      </c>
      <c r="O34" s="1816">
        <f>IF($I$34&lt;=$E$34,0,"c25&lt;=c10")</f>
        <v>0</v>
      </c>
      <c r="P34" s="1816">
        <f>IF($F$34&gt;=0,0,"F20.4,c11&gt;=0")</f>
        <v>0</v>
      </c>
      <c r="Q34" s="1816">
        <f>IF($G$34&gt;=0,0,"F20.4,c12&gt;=0")</f>
        <v>0</v>
      </c>
      <c r="R34" s="1816">
        <f t="shared" si="4"/>
        <v>0</v>
      </c>
      <c r="S34" s="1816">
        <f t="shared" si="5"/>
        <v>0</v>
      </c>
      <c r="T34" s="1832">
        <f t="shared" si="3"/>
        <v>0</v>
      </c>
    </row>
    <row r="35" spans="1:20">
      <c r="A35" s="1156" t="str">
        <f t="shared" si="1"/>
        <v>F-20.04_190</v>
      </c>
      <c r="B35" s="767">
        <v>190</v>
      </c>
      <c r="C35" s="768" t="s">
        <v>704</v>
      </c>
      <c r="D35" s="82" t="s">
        <v>1711</v>
      </c>
      <c r="E35" s="932"/>
      <c r="F35" s="932"/>
      <c r="G35" s="932"/>
      <c r="H35" s="931"/>
      <c r="I35" s="931"/>
      <c r="J35" s="1380"/>
      <c r="K35" s="1380"/>
      <c r="L35" s="1816">
        <f>IF($E$35&gt;=$H$35,0,"C10&gt;=c22")</f>
        <v>0</v>
      </c>
      <c r="N35" s="1816">
        <f>IF($E$34&gt;=0,0,"F20.4,c10&gt;=0")</f>
        <v>0</v>
      </c>
      <c r="O35" s="1816">
        <f>IF($I$35&lt;=$E$35,0,"c25&lt;=c10")</f>
        <v>0</v>
      </c>
      <c r="P35" s="1816">
        <f>IF($F$35&gt;=0,0,"F20.4,c11&gt;=0")</f>
        <v>0</v>
      </c>
      <c r="Q35" s="1816">
        <f>IF($G$35&gt;=0,0,"F20.4,c12&gt;=0")</f>
        <v>0</v>
      </c>
      <c r="R35" s="1816">
        <f t="shared" si="4"/>
        <v>0</v>
      </c>
      <c r="S35" s="1816">
        <f t="shared" si="5"/>
        <v>0</v>
      </c>
      <c r="T35" s="1832">
        <f t="shared" si="3"/>
        <v>0</v>
      </c>
    </row>
    <row r="36" spans="1:20">
      <c r="A36" s="1156" t="str">
        <f t="shared" si="1"/>
        <v>F-20.04_200</v>
      </c>
      <c r="B36" s="767">
        <v>200</v>
      </c>
      <c r="C36" s="769" t="s">
        <v>432</v>
      </c>
      <c r="D36" s="1511" t="s">
        <v>605</v>
      </c>
      <c r="E36" s="932"/>
      <c r="F36" s="932"/>
      <c r="G36" s="932"/>
      <c r="H36" s="931"/>
      <c r="I36" s="931"/>
      <c r="J36" s="1380"/>
      <c r="K36" s="1380"/>
      <c r="L36" s="1816">
        <f>IF($E$36&gt;=$H$36,0,"C10&gt;=c22")</f>
        <v>0</v>
      </c>
      <c r="N36" s="1816">
        <f>IF($E$35&gt;=0,0,"F20.4,c10&gt;=0")</f>
        <v>0</v>
      </c>
      <c r="O36" s="1816">
        <f>IF($I$36&lt;=$E$36,0,"c25&lt;=c10")</f>
        <v>0</v>
      </c>
      <c r="P36" s="1816">
        <f>IF($F$36&gt;=0,0,"F20.4,c11&gt;=0")</f>
        <v>0</v>
      </c>
      <c r="Q36" s="1816">
        <f>IF($G$36&gt;=0,0,"F20.4,c12&gt;=0")</f>
        <v>0</v>
      </c>
      <c r="R36" s="1816">
        <f t="shared" si="4"/>
        <v>0</v>
      </c>
      <c r="S36" s="1816">
        <f t="shared" si="5"/>
        <v>0</v>
      </c>
      <c r="T36" s="1832">
        <f t="shared" si="3"/>
        <v>0</v>
      </c>
    </row>
    <row r="37" spans="1:20">
      <c r="A37" s="1156" t="str">
        <f t="shared" si="1"/>
        <v>F-20.04_210</v>
      </c>
      <c r="B37" s="767">
        <v>210</v>
      </c>
      <c r="C37" s="769" t="s">
        <v>692</v>
      </c>
      <c r="D37" s="1512" t="s">
        <v>1716</v>
      </c>
      <c r="E37" s="932"/>
      <c r="F37" s="932"/>
      <c r="G37" s="932"/>
      <c r="H37" s="931"/>
      <c r="I37" s="931"/>
      <c r="J37" s="1380"/>
      <c r="K37" s="1380"/>
      <c r="L37" s="1816">
        <f>IF($E$37&gt;=$H$37,0,"C10&gt;=c22")</f>
        <v>0</v>
      </c>
      <c r="N37" s="1816">
        <f>IF($E$36&gt;=0,0,"F20.4,c10&gt;=0")</f>
        <v>0</v>
      </c>
      <c r="O37" s="1816">
        <f>IF($I$37&lt;=$E$37,0,"c25&lt;=c10")</f>
        <v>0</v>
      </c>
      <c r="P37" s="1816">
        <f>IF($F$37&gt;=0,0,"F20.4,c11&gt;=0")</f>
        <v>0</v>
      </c>
      <c r="Q37" s="1816">
        <f>IF($G$37&gt;=0,0,"F20.4,c12&gt;=0")</f>
        <v>0</v>
      </c>
      <c r="R37" s="1816">
        <f t="shared" si="4"/>
        <v>0</v>
      </c>
      <c r="S37" s="1816">
        <f t="shared" si="5"/>
        <v>0</v>
      </c>
      <c r="T37" s="1832">
        <f t="shared" si="3"/>
        <v>0</v>
      </c>
    </row>
    <row r="38" spans="1:20">
      <c r="A38" s="1156" t="str">
        <f t="shared" si="1"/>
        <v>F-20.04_220</v>
      </c>
      <c r="B38" s="767">
        <v>220</v>
      </c>
      <c r="C38" s="768" t="s">
        <v>128</v>
      </c>
      <c r="D38" s="1513" t="s">
        <v>1717</v>
      </c>
      <c r="E38" s="932"/>
      <c r="F38" s="932"/>
      <c r="G38" s="932"/>
      <c r="H38" s="931"/>
      <c r="I38" s="931"/>
      <c r="J38" s="1380"/>
      <c r="K38" s="1380"/>
      <c r="L38" s="1816">
        <f>IF($E$38&gt;=$H$38,0,"C10&gt;=c22")</f>
        <v>0</v>
      </c>
      <c r="N38" s="1816">
        <f>IF($E$37&gt;=0,0,"F20.4,c10&gt;=0")</f>
        <v>0</v>
      </c>
      <c r="O38" s="1816">
        <f>IF($I$38&lt;=$E$38,0,"c25&lt;=c10")</f>
        <v>0</v>
      </c>
      <c r="P38" s="1816">
        <f>IF($F$38&gt;=0,0,"F20.4,c11&gt;=0")</f>
        <v>0</v>
      </c>
      <c r="Q38" s="1816">
        <f>IF($G$38&gt;=0,0,"F20.4,c12&gt;=0")</f>
        <v>0</v>
      </c>
      <c r="R38" s="1816">
        <f t="shared" si="4"/>
        <v>0</v>
      </c>
      <c r="S38" s="1816">
        <f t="shared" si="5"/>
        <v>0</v>
      </c>
      <c r="T38" s="1832">
        <f t="shared" si="3"/>
        <v>0</v>
      </c>
    </row>
    <row r="39" spans="1:20">
      <c r="A39" s="1156" t="str">
        <f t="shared" si="1"/>
        <v>F-20.04_230</v>
      </c>
      <c r="B39" s="767">
        <v>230</v>
      </c>
      <c r="C39" s="769" t="s">
        <v>1546</v>
      </c>
      <c r="D39" s="80" t="s">
        <v>1716</v>
      </c>
      <c r="E39" s="932"/>
      <c r="F39" s="932"/>
      <c r="G39" s="932"/>
      <c r="H39" s="931"/>
      <c r="I39" s="931"/>
      <c r="J39" s="1380"/>
      <c r="K39" s="1380"/>
      <c r="L39" s="1816">
        <f>IF($E$39&gt;=$H$39,0,"C10&gt;=c22")</f>
        <v>0</v>
      </c>
      <c r="N39" s="1816">
        <f>IF($E$38&gt;=0,0,"F20.4,c10&gt;=0")</f>
        <v>0</v>
      </c>
      <c r="O39" s="1816">
        <f>IF($I$39&lt;=$E$39,0,"c25&lt;=c10")</f>
        <v>0</v>
      </c>
      <c r="P39" s="1816">
        <f>IF($F$39&gt;=0,0,"F20.4,c11&gt;=0")</f>
        <v>0</v>
      </c>
      <c r="Q39" s="1816">
        <f>IF($G$39&gt;=0,0,"F20.4,c12&gt;=0")</f>
        <v>0</v>
      </c>
      <c r="R39" s="1816">
        <f t="shared" si="4"/>
        <v>0</v>
      </c>
      <c r="S39" s="1816">
        <f t="shared" si="5"/>
        <v>0</v>
      </c>
      <c r="T39" s="1832">
        <f t="shared" si="3"/>
        <v>0</v>
      </c>
    </row>
    <row r="40" spans="1:20">
      <c r="A40" s="1156" t="str">
        <f t="shared" si="1"/>
        <v>F-20.04_240</v>
      </c>
      <c r="B40" s="770">
        <v>240</v>
      </c>
      <c r="C40" s="771" t="s">
        <v>433</v>
      </c>
      <c r="D40" s="1514" t="s">
        <v>1718</v>
      </c>
      <c r="E40" s="936"/>
      <c r="F40" s="936"/>
      <c r="G40" s="936"/>
      <c r="H40" s="1466"/>
      <c r="I40" s="1466"/>
      <c r="J40" s="1784"/>
      <c r="K40" s="1784"/>
      <c r="L40" s="1816">
        <f>IF($E$40&gt;=$H$40,0,"C10&gt;=c22")</f>
        <v>0</v>
      </c>
      <c r="N40" s="1816">
        <f>IF($E$39&gt;=0,0,"F20.4,c10&gt;=0")</f>
        <v>0</v>
      </c>
      <c r="O40" s="1816">
        <f>IF($I$40&lt;=$E$40,0,"c25&lt;=c10")</f>
        <v>0</v>
      </c>
      <c r="P40" s="1816">
        <f>IF($F$40&gt;=0,0,"F20.4,c11&gt;=0")</f>
        <v>0</v>
      </c>
      <c r="Q40" s="1816">
        <f>IF($G$40&gt;=0,0,"F20.4,c12&gt;=0")</f>
        <v>0</v>
      </c>
      <c r="R40" s="1816">
        <f t="shared" si="4"/>
        <v>0</v>
      </c>
      <c r="S40" s="1816">
        <f t="shared" si="5"/>
        <v>0</v>
      </c>
      <c r="T40" s="1832">
        <f t="shared" si="3"/>
        <v>0</v>
      </c>
    </row>
    <row r="41" spans="1:20" s="660" customFormat="1">
      <c r="A41" s="1100" t="s">
        <v>718</v>
      </c>
      <c r="E41" s="1816">
        <f>IF($E$35&gt;=$E$36,0,"R190&gt;=R200")</f>
        <v>0</v>
      </c>
      <c r="F41" s="1816">
        <f>IF($F$35&gt;=$F$36,0,"R190&gt;=R200")</f>
        <v>0</v>
      </c>
      <c r="G41" s="1816">
        <f>IF($G$35&gt;=$G$36,0,"R190&gt;=R200")</f>
        <v>0</v>
      </c>
      <c r="H41" s="1816">
        <f>IF($H$35&gt;=$H$36,0,"R190&gt;=R200")</f>
        <v>0</v>
      </c>
      <c r="I41" s="1816">
        <f>IF($I$35&gt;=$I$36,0,"R190&gt;=R200")</f>
        <v>0</v>
      </c>
      <c r="J41" s="1816">
        <f>IF($J$35&lt;=$J$36,0,"R190&lt;=R200")</f>
        <v>0</v>
      </c>
      <c r="K41" s="1816">
        <f>IF($K$35&lt;=$K$36,0,"R190&lt;=R200")</f>
        <v>0</v>
      </c>
      <c r="N41" s="1816">
        <f>IF($E$40&gt;=0,0,"F20.4,c10&gt;=0")</f>
        <v>0</v>
      </c>
    </row>
    <row r="42" spans="1:20" s="792" customFormat="1">
      <c r="A42" s="1100" t="s">
        <v>718</v>
      </c>
      <c r="B42" s="772"/>
      <c r="C42" s="773"/>
      <c r="D42" s="774"/>
      <c r="E42" s="1816">
        <f>IF($E$38&gt;=$E$39,0,"r220&gt;=r230")</f>
        <v>0</v>
      </c>
      <c r="F42" s="1816"/>
      <c r="G42" s="1816"/>
      <c r="H42" s="1816">
        <f>IF($H$38&gt;=$H$39,0,"r220&gt;=r230")</f>
        <v>0</v>
      </c>
      <c r="I42" s="1816">
        <f>IF($I$38&gt;=$I$39,0,"r220&gt;=r230")</f>
        <v>0</v>
      </c>
    </row>
    <row r="43" spans="1:20" s="792" customFormat="1">
      <c r="A43" s="1100" t="s">
        <v>718</v>
      </c>
      <c r="B43" s="711"/>
      <c r="C43" s="711"/>
      <c r="D43" s="774"/>
      <c r="E43" s="1816">
        <f>IF($E$35&gt;=$E$37,0,"r190&gt;=r210")</f>
        <v>0</v>
      </c>
      <c r="F43" s="1816"/>
      <c r="G43" s="1816"/>
      <c r="H43" s="1816">
        <f>IF($H$35&gt;=$H$37,0,"r190&gt;=r210")</f>
        <v>0</v>
      </c>
      <c r="I43" s="1816">
        <f>IF($I$35&gt;=$I$37,0,"r190&gt;=r210")</f>
        <v>0</v>
      </c>
    </row>
    <row r="44" spans="1:20" s="792" customFormat="1">
      <c r="A44" s="1100" t="s">
        <v>718</v>
      </c>
      <c r="B44" s="711"/>
      <c r="D44" s="774"/>
      <c r="E44" s="1816">
        <f>IF($E$38&gt;=$E$40,0,"r220&gt;=r240")</f>
        <v>0</v>
      </c>
      <c r="F44" s="1816"/>
      <c r="G44" s="1816"/>
      <c r="H44" s="1816">
        <f>IF($H$38&gt;=$H$40,0,"r220&gt;=r240")</f>
        <v>0</v>
      </c>
      <c r="I44" s="1816">
        <f>IF($I$38&gt;=$I$40,0,"r220&gt;=r240")</f>
        <v>0</v>
      </c>
    </row>
    <row r="45" spans="1:20" s="792" customFormat="1">
      <c r="A45" s="1156" t="s">
        <v>724</v>
      </c>
      <c r="B45" s="711"/>
      <c r="D45" s="774"/>
      <c r="E45" s="1816"/>
      <c r="F45" s="1816"/>
      <c r="G45" s="1816"/>
    </row>
    <row r="46" spans="1:20" s="1097" customFormat="1" ht="18" hidden="1" customHeight="1">
      <c r="A46" s="1096" t="s">
        <v>1263</v>
      </c>
      <c r="B46" s="1118">
        <v>2</v>
      </c>
      <c r="C46" s="1118">
        <v>1</v>
      </c>
      <c r="D46" s="1119">
        <v>12</v>
      </c>
      <c r="E46" s="1182">
        <v>5</v>
      </c>
      <c r="F46" s="1120">
        <v>3</v>
      </c>
      <c r="G46" s="1121">
        <v>4</v>
      </c>
      <c r="H46" s="1122">
        <v>4</v>
      </c>
      <c r="I46" s="1122">
        <v>4</v>
      </c>
      <c r="J46" s="1123">
        <v>4</v>
      </c>
      <c r="K46" s="1123"/>
      <c r="L46" s="1123">
        <v>5</v>
      </c>
      <c r="M46" s="1124">
        <v>4</v>
      </c>
      <c r="N46" s="1124">
        <v>6</v>
      </c>
      <c r="O46" s="1125">
        <v>4</v>
      </c>
      <c r="P46" s="1125">
        <v>7</v>
      </c>
    </row>
    <row r="47" spans="1:20" s="1097" customFormat="1" ht="18" hidden="1" customHeight="1">
      <c r="A47" s="1096" t="str">
        <f>Index!$A$2</f>
        <v>V20181222</v>
      </c>
      <c r="B47" s="1098"/>
      <c r="C47" s="1099"/>
      <c r="D47" s="1100"/>
      <c r="E47" s="1100" t="str">
        <f>$A$46&amp;"_"&amp;E57</f>
        <v>F-20.05_010</v>
      </c>
      <c r="F47" s="1100" t="str">
        <f>$A$46&amp;"_"&amp;F57</f>
        <v>F-20.05_022</v>
      </c>
      <c r="G47" s="1100" t="str">
        <f>$A$46&amp;"_"&amp;G57</f>
        <v>F-20.05_025</v>
      </c>
      <c r="H47" s="1100" t="str">
        <f>$A$46&amp;"_"&amp;H57</f>
        <v>F-20.05_030</v>
      </c>
      <c r="I47" s="1100"/>
      <c r="J47" s="1100"/>
      <c r="K47" s="1100"/>
      <c r="L47" s="1100"/>
      <c r="M47" s="1100"/>
      <c r="N47" s="1100"/>
      <c r="O47" s="1101"/>
    </row>
    <row r="48" spans="1:20" s="1097" customFormat="1" ht="18" hidden="1" customHeight="1">
      <c r="A48" s="1096" t="str">
        <f>"R:A1:P"&amp;ROW(A174)+1</f>
        <v>R:A1:P175</v>
      </c>
      <c r="B48" s="1102"/>
      <c r="C48" s="1103"/>
      <c r="D48" s="1104"/>
      <c r="E48" s="1105"/>
      <c r="F48" s="1106"/>
      <c r="G48" s="1107"/>
      <c r="H48" s="1107"/>
      <c r="I48" s="1107"/>
      <c r="J48" s="1107"/>
      <c r="K48" s="1107"/>
      <c r="L48" s="1107"/>
    </row>
    <row r="49" spans="1:15" s="1097" customFormat="1" ht="18" hidden="1" customHeight="1">
      <c r="A49" s="1096"/>
      <c r="B49" s="1102"/>
      <c r="C49" s="1103"/>
      <c r="D49" s="1108"/>
      <c r="E49" s="1109"/>
      <c r="F49" s="1110" t="str">
        <f>$D$9</f>
        <v>CY</v>
      </c>
      <c r="G49" s="1111">
        <f>O50</f>
        <v>0</v>
      </c>
      <c r="H49" s="1107"/>
      <c r="I49" s="1107"/>
      <c r="J49" s="1107"/>
      <c r="K49" s="1107"/>
      <c r="L49" s="1107"/>
    </row>
    <row r="50" spans="1:15" s="1097" customFormat="1" ht="18" hidden="1" customHeight="1">
      <c r="A50" s="1096"/>
      <c r="B50" s="1102"/>
      <c r="C50" s="1103"/>
      <c r="D50" s="1112"/>
      <c r="E50" s="1113"/>
      <c r="F50" s="1114"/>
      <c r="O50" s="1097">
        <f>COUNTIF(I58:M60,"&lt;&gt;0")-COUNTBLANK(I58:M60)+COUNTIF(E61:H61,"&lt;&gt;0")-COUNTBLANK(E61:H61)</f>
        <v>0</v>
      </c>
    </row>
    <row r="51" spans="1:15" s="1116" customFormat="1">
      <c r="A51" s="1100" t="s">
        <v>718</v>
      </c>
      <c r="B51" s="1115"/>
    </row>
    <row r="52" spans="1:15" s="792" customFormat="1">
      <c r="A52" s="1100" t="s">
        <v>718</v>
      </c>
      <c r="B52" s="711" t="s">
        <v>584</v>
      </c>
      <c r="C52" s="711"/>
      <c r="E52" s="1116"/>
      <c r="F52" s="1116"/>
      <c r="G52" s="1116"/>
    </row>
    <row r="53" spans="1:15">
      <c r="A53" s="1100" t="s">
        <v>718</v>
      </c>
      <c r="B53" s="750"/>
      <c r="C53" s="776"/>
      <c r="D53" s="775"/>
      <c r="E53" s="849"/>
      <c r="F53" s="849"/>
      <c r="G53" s="849"/>
    </row>
    <row r="54" spans="1:15" ht="15.75" customHeight="1">
      <c r="A54" s="1100" t="s">
        <v>718</v>
      </c>
      <c r="B54" s="795"/>
      <c r="C54" s="753"/>
      <c r="D54" s="2110" t="s">
        <v>551</v>
      </c>
      <c r="E54" s="2116" t="s">
        <v>422</v>
      </c>
      <c r="F54" s="1521"/>
      <c r="G54" s="1523"/>
      <c r="H54" s="2115" t="s">
        <v>409</v>
      </c>
    </row>
    <row r="55" spans="1:15" ht="40.5" customHeight="1">
      <c r="A55" s="1100"/>
      <c r="B55" s="800"/>
      <c r="C55" s="716"/>
      <c r="D55" s="2111"/>
      <c r="E55" s="2117"/>
      <c r="F55" s="754" t="s">
        <v>698</v>
      </c>
      <c r="G55" s="754" t="s">
        <v>694</v>
      </c>
      <c r="H55" s="2114"/>
    </row>
    <row r="56" spans="1:15" ht="21">
      <c r="A56" s="1100" t="s">
        <v>718</v>
      </c>
      <c r="B56" s="800"/>
      <c r="C56" s="716"/>
      <c r="D56" s="2111"/>
      <c r="E56" s="399" t="s">
        <v>1732</v>
      </c>
      <c r="F56" s="584" t="s">
        <v>1733</v>
      </c>
      <c r="G56" s="584" t="s">
        <v>1725</v>
      </c>
      <c r="H56" s="1518" t="s">
        <v>1734</v>
      </c>
    </row>
    <row r="57" spans="1:15">
      <c r="A57" s="1100" t="s">
        <v>718</v>
      </c>
      <c r="B57" s="802"/>
      <c r="C57" s="719"/>
      <c r="D57" s="2112"/>
      <c r="E57" s="453" t="s">
        <v>292</v>
      </c>
      <c r="F57" s="1517" t="s">
        <v>699</v>
      </c>
      <c r="G57" s="1517" t="s">
        <v>700</v>
      </c>
      <c r="H57" s="1517" t="s">
        <v>294</v>
      </c>
    </row>
    <row r="58" spans="1:15" s="792" customFormat="1" ht="21">
      <c r="A58" s="1156" t="str">
        <f>$A$46&amp;"_"&amp;B58</f>
        <v>F-20.05_010</v>
      </c>
      <c r="B58" s="778" t="s">
        <v>292</v>
      </c>
      <c r="C58" s="779" t="s">
        <v>133</v>
      </c>
      <c r="D58" s="275" t="s">
        <v>1729</v>
      </c>
      <c r="E58" s="934"/>
      <c r="F58" s="934"/>
      <c r="G58" s="934"/>
      <c r="H58" s="934"/>
      <c r="I58" s="815">
        <f>IF($E$58&gt;=0,0,"R10,C10&gt;=0")</f>
        <v>0</v>
      </c>
      <c r="J58" s="815">
        <f>IF($G$58&gt;=0,0,"R10,C25&gt;=0")</f>
        <v>0</v>
      </c>
      <c r="K58" s="815"/>
      <c r="L58" s="815">
        <f>IF($H$58&gt;=0,0,"R10,C30&gt;=0")</f>
        <v>0</v>
      </c>
      <c r="M58" s="815">
        <f>IF($E$58&gt;=$G$58,0,"C10&gt;=C25")</f>
        <v>0</v>
      </c>
    </row>
    <row r="59" spans="1:15" s="792" customFormat="1" ht="31.5">
      <c r="A59" s="1156" t="str">
        <f>$A$46&amp;"_"&amp;B59</f>
        <v>F-20.05_020</v>
      </c>
      <c r="B59" s="780" t="s">
        <v>293</v>
      </c>
      <c r="C59" s="653" t="s">
        <v>134</v>
      </c>
      <c r="D59" s="324" t="s">
        <v>1730</v>
      </c>
      <c r="E59" s="933"/>
      <c r="F59" s="781"/>
      <c r="G59" s="933"/>
      <c r="H59" s="933"/>
      <c r="I59" s="815">
        <f>IF($E$59&gt;=0,0,"R20,C10&gt;=0")</f>
        <v>0</v>
      </c>
      <c r="J59" s="815">
        <f>IF($G$59&gt;=0,0,"R20,C25&gt;=0")</f>
        <v>0</v>
      </c>
      <c r="K59" s="815"/>
      <c r="L59" s="815">
        <f>IF($H$59&gt;=0,0,"R20,C30&gt;=0")</f>
        <v>0</v>
      </c>
      <c r="M59" s="815">
        <f>IF($E$59&gt;=$G$59,0,"C10&gt;=C25")</f>
        <v>0</v>
      </c>
    </row>
    <row r="60" spans="1:15" s="792" customFormat="1" ht="21">
      <c r="A60" s="1156" t="str">
        <f>$A$46&amp;"_"&amp;B60</f>
        <v>F-20.05_030</v>
      </c>
      <c r="B60" s="782" t="s">
        <v>294</v>
      </c>
      <c r="C60" s="783" t="s">
        <v>135</v>
      </c>
      <c r="D60" s="117" t="s">
        <v>1731</v>
      </c>
      <c r="E60" s="935"/>
      <c r="F60" s="784"/>
      <c r="G60" s="935"/>
      <c r="H60" s="935"/>
      <c r="I60" s="815">
        <f>IF(E60&gt;=0,0,"R30,C10&gt;=0")</f>
        <v>0</v>
      </c>
      <c r="J60" s="815">
        <f>IF(G60&gt;=0,0,"R30,C25&gt;=0")</f>
        <v>0</v>
      </c>
      <c r="K60" s="815"/>
      <c r="L60" s="815">
        <f>IF(H60&gt;=0,0,"R30,C30&gt;=0")</f>
        <v>0</v>
      </c>
      <c r="M60" s="815">
        <f>IF($E$60&gt;=$G$60,0,"C10&gt;=C25")</f>
        <v>0</v>
      </c>
    </row>
    <row r="61" spans="1:15" s="660" customFormat="1">
      <c r="A61" s="1100" t="s">
        <v>718</v>
      </c>
      <c r="B61" s="671"/>
      <c r="C61" s="671"/>
      <c r="D61" s="671"/>
      <c r="E61" s="815">
        <f>IF($E$58&gt;=$F$58,0,"C10&gt;=C22")</f>
        <v>0</v>
      </c>
      <c r="F61" s="815">
        <f>IF($F$58&gt;=0,0,"C22&gt;=0")</f>
        <v>0</v>
      </c>
      <c r="G61" s="671"/>
    </row>
    <row r="62" spans="1:15">
      <c r="A62" s="1156" t="s">
        <v>724</v>
      </c>
    </row>
    <row r="63" spans="1:15" s="1097" customFormat="1" ht="18" hidden="1" customHeight="1">
      <c r="A63" s="1096" t="s">
        <v>1264</v>
      </c>
      <c r="B63" s="671">
        <v>2</v>
      </c>
      <c r="C63" s="671">
        <v>1</v>
      </c>
      <c r="D63" s="671">
        <v>13</v>
      </c>
      <c r="E63" s="671">
        <v>5</v>
      </c>
      <c r="F63" s="671">
        <v>3</v>
      </c>
      <c r="G63" s="671">
        <v>4</v>
      </c>
      <c r="H63" s="1122">
        <v>4</v>
      </c>
      <c r="I63" s="1122">
        <v>4</v>
      </c>
      <c r="J63" s="1123">
        <v>4</v>
      </c>
      <c r="K63" s="1123">
        <v>5</v>
      </c>
      <c r="L63" s="1124">
        <v>4</v>
      </c>
      <c r="M63" s="1124">
        <v>6</v>
      </c>
      <c r="N63" s="1125">
        <v>4</v>
      </c>
      <c r="O63" s="1125">
        <v>7</v>
      </c>
    </row>
    <row r="64" spans="1:15" s="1097" customFormat="1" ht="18" hidden="1" customHeight="1">
      <c r="A64" s="1096" t="str">
        <f>Index!$A$2</f>
        <v>V20181222</v>
      </c>
      <c r="B64" s="671"/>
      <c r="C64" s="671"/>
      <c r="D64" s="671"/>
      <c r="E64" s="671" t="str">
        <f>$A$63&amp;"_"&amp;E74</f>
        <v>F-20.06_010</v>
      </c>
      <c r="F64" s="671"/>
      <c r="G64" s="671"/>
      <c r="H64" s="1100"/>
      <c r="I64" s="1100"/>
      <c r="J64" s="1100"/>
      <c r="K64" s="1100"/>
      <c r="L64" s="1100"/>
      <c r="M64" s="1100"/>
      <c r="N64" s="1100"/>
      <c r="O64" s="1101"/>
    </row>
    <row r="65" spans="1:15" s="1097" customFormat="1" ht="18" hidden="1" customHeight="1">
      <c r="A65" s="1096" t="str">
        <f>"R:A1:P"&amp;ROW(A190)+1</f>
        <v>R:A1:P191</v>
      </c>
      <c r="B65" s="671"/>
      <c r="C65" s="671"/>
      <c r="D65" s="671"/>
      <c r="E65" s="671"/>
      <c r="F65" s="671"/>
      <c r="G65" s="671"/>
      <c r="H65" s="1107"/>
      <c r="I65" s="1107"/>
      <c r="J65" s="1107"/>
      <c r="K65" s="1107"/>
      <c r="L65" s="1107"/>
    </row>
    <row r="66" spans="1:15" s="1097" customFormat="1" ht="18" hidden="1" customHeight="1">
      <c r="A66" s="1096"/>
      <c r="B66" s="671"/>
      <c r="C66" s="671"/>
      <c r="D66" s="671"/>
      <c r="E66" s="671"/>
      <c r="F66" s="671" t="str">
        <f>$D$9</f>
        <v>CY</v>
      </c>
      <c r="G66" s="671">
        <f>O67</f>
        <v>0</v>
      </c>
      <c r="H66" s="1107"/>
      <c r="I66" s="1107"/>
      <c r="J66" s="1107"/>
      <c r="K66" s="1107"/>
      <c r="L66" s="1107"/>
    </row>
    <row r="67" spans="1:15" s="1097" customFormat="1" ht="18" hidden="1" customHeight="1">
      <c r="A67" s="1096"/>
      <c r="B67" s="671"/>
      <c r="C67" s="671"/>
      <c r="D67" s="671"/>
      <c r="E67" s="671"/>
      <c r="F67" s="671"/>
      <c r="G67" s="671"/>
      <c r="O67" s="1097">
        <f>COUNTIF(F75:H88,"&lt;&gt;0")-COUNTBLANK(F75:H88)</f>
        <v>0</v>
      </c>
    </row>
    <row r="68" spans="1:15" s="1116" customFormat="1">
      <c r="A68" s="1100" t="s">
        <v>718</v>
      </c>
      <c r="B68" s="671"/>
      <c r="C68" s="671"/>
      <c r="D68" s="671"/>
      <c r="E68" s="671"/>
      <c r="F68" s="671"/>
      <c r="G68" s="671"/>
    </row>
    <row r="69" spans="1:15">
      <c r="A69" s="1100" t="s">
        <v>718</v>
      </c>
      <c r="B69" s="711" t="s">
        <v>585</v>
      </c>
      <c r="C69" s="711"/>
    </row>
    <row r="70" spans="1:15">
      <c r="A70" s="1100" t="s">
        <v>718</v>
      </c>
      <c r="B70" s="711"/>
      <c r="C70" s="792"/>
    </row>
    <row r="71" spans="1:15">
      <c r="A71" s="1100" t="s">
        <v>718</v>
      </c>
      <c r="C71" s="709"/>
    </row>
    <row r="72" spans="1:15" ht="21">
      <c r="A72" s="1100" t="s">
        <v>718</v>
      </c>
      <c r="B72" s="795"/>
      <c r="C72" s="753"/>
      <c r="D72" s="2110" t="s">
        <v>551</v>
      </c>
      <c r="E72" s="777" t="s">
        <v>57</v>
      </c>
      <c r="F72" s="660"/>
      <c r="G72" s="660"/>
    </row>
    <row r="73" spans="1:15" ht="21">
      <c r="A73" s="1100" t="s">
        <v>718</v>
      </c>
      <c r="B73" s="800"/>
      <c r="C73" s="716"/>
      <c r="D73" s="2111"/>
      <c r="E73" s="1518" t="s">
        <v>1735</v>
      </c>
      <c r="F73" s="660"/>
      <c r="G73" s="660"/>
    </row>
    <row r="74" spans="1:15">
      <c r="A74" s="1100" t="s">
        <v>718</v>
      </c>
      <c r="B74" s="802"/>
      <c r="C74" s="719"/>
      <c r="D74" s="2112"/>
      <c r="E74" s="785" t="s">
        <v>292</v>
      </c>
      <c r="F74" s="660"/>
      <c r="G74" s="660"/>
    </row>
    <row r="75" spans="1:15" ht="57.75" customHeight="1">
      <c r="A75" s="1156" t="str">
        <f>$A$63&amp;"_"&amp;B75</f>
        <v>F-20.06_010</v>
      </c>
      <c r="B75" s="724" t="s">
        <v>292</v>
      </c>
      <c r="C75" s="720" t="s">
        <v>121</v>
      </c>
      <c r="D75" s="16" t="s">
        <v>1736</v>
      </c>
      <c r="E75" s="932"/>
      <c r="F75" s="1814">
        <f>IF($E$75&gt;=SUM($E$76:$E$77),0,"r10&gt;=sum(r20-30)")</f>
        <v>0</v>
      </c>
      <c r="G75" s="1814">
        <f>IF($E$75&gt;=0,0,"F20.6&gt;=0")</f>
        <v>0</v>
      </c>
      <c r="H75" s="1832">
        <f>IF($E$11="Y", IF(E75='20'!E61+'20'!F61+'20'!E74+'20'!F74,0,"sum({F 20.06, r010, c010, (sNNN)}) = {F 20.02, r020, c010} + {F 20.02, r020, c020} + {F 20.02, r150, c010} + {F 20.02, r150, c020}"),0)</f>
        <v>0</v>
      </c>
    </row>
    <row r="76" spans="1:15">
      <c r="A76" s="1156" t="str">
        <f t="shared" ref="A76:A87" si="6">$A$63&amp;"_"&amp;B76</f>
        <v>F-20.06_020</v>
      </c>
      <c r="B76" s="645" t="s">
        <v>293</v>
      </c>
      <c r="C76" s="786" t="s">
        <v>413</v>
      </c>
      <c r="D76" s="14" t="s">
        <v>1709</v>
      </c>
      <c r="E76" s="931"/>
      <c r="F76" s="660"/>
      <c r="G76" s="1814">
        <f>IF($E$76&gt;=0,0,"F20.6&gt;=0")</f>
        <v>0</v>
      </c>
      <c r="H76" s="792"/>
    </row>
    <row r="77" spans="1:15">
      <c r="A77" s="1156" t="str">
        <f t="shared" si="6"/>
        <v>F-20.06_030</v>
      </c>
      <c r="B77" s="645" t="s">
        <v>294</v>
      </c>
      <c r="C77" s="786" t="s">
        <v>414</v>
      </c>
      <c r="D77" s="14" t="s">
        <v>1710</v>
      </c>
      <c r="E77" s="931"/>
      <c r="F77" s="660"/>
      <c r="G77" s="1814">
        <f>IF($E$77&gt;=0,0,"F20.6&gt;=0")</f>
        <v>0</v>
      </c>
      <c r="H77" s="792"/>
    </row>
    <row r="78" spans="1:15" ht="33" customHeight="1">
      <c r="A78" s="1156" t="str">
        <f t="shared" si="6"/>
        <v>F-20.06_040</v>
      </c>
      <c r="B78" s="645" t="s">
        <v>295</v>
      </c>
      <c r="C78" s="787" t="s">
        <v>77</v>
      </c>
      <c r="D78" s="14" t="s">
        <v>1737</v>
      </c>
      <c r="E78" s="932"/>
      <c r="F78" s="1814">
        <f>IF($E$78&gt;=SUM($E$79:$E$80),0,"r40&gt;=sum(r50-60)")</f>
        <v>0</v>
      </c>
      <c r="G78" s="1814">
        <f>IF($E$78&gt;=0,0,"F20.6&gt;=0")</f>
        <v>0</v>
      </c>
      <c r="H78" s="1832">
        <f>IF($E$11="Y", IF(E78='20'!E62+'20'!F62,0,"sum({F 20.06, r040, c010, (sNNN)}) = {F 20.02, r030, c010} + {F 20.02, r030, c020}"),0)</f>
        <v>0</v>
      </c>
    </row>
    <row r="79" spans="1:15">
      <c r="A79" s="1156" t="str">
        <f t="shared" si="6"/>
        <v>F-20.06_050</v>
      </c>
      <c r="B79" s="645" t="s">
        <v>296</v>
      </c>
      <c r="C79" s="786" t="s">
        <v>413</v>
      </c>
      <c r="D79" s="14" t="s">
        <v>1709</v>
      </c>
      <c r="E79" s="932"/>
      <c r="F79" s="660"/>
      <c r="G79" s="1814">
        <f>IF($E$79&gt;=0,0,"F20.6&gt;=0")</f>
        <v>0</v>
      </c>
      <c r="H79" s="792"/>
    </row>
    <row r="80" spans="1:15">
      <c r="A80" s="1156" t="str">
        <f t="shared" si="6"/>
        <v>F-20.06_060</v>
      </c>
      <c r="B80" s="645" t="s">
        <v>297</v>
      </c>
      <c r="C80" s="786" t="s">
        <v>414</v>
      </c>
      <c r="D80" s="14" t="s">
        <v>1710</v>
      </c>
      <c r="E80" s="932"/>
      <c r="F80" s="660"/>
      <c r="G80" s="1814">
        <f>IF($E$80&gt;=0,0,"F20.6&gt;=0")</f>
        <v>0</v>
      </c>
      <c r="H80" s="792"/>
    </row>
    <row r="81" spans="1:15" ht="69" customHeight="1">
      <c r="A81" s="1156" t="str">
        <f t="shared" si="6"/>
        <v>F-20.06_070</v>
      </c>
      <c r="B81" s="645" t="s">
        <v>298</v>
      </c>
      <c r="C81" s="787" t="s">
        <v>15</v>
      </c>
      <c r="D81" s="14" t="s">
        <v>1568</v>
      </c>
      <c r="E81" s="958">
        <f>SUM($E$82:$E$87)</f>
        <v>0</v>
      </c>
      <c r="F81" s="1814"/>
      <c r="G81" s="1814">
        <f>IF($E$81&gt;=0,0,"F20.6&gt;=0")</f>
        <v>0</v>
      </c>
      <c r="H81" s="1832">
        <f>IF($E$11="Y", IF(E81='20'!E63+'20'!F63+'20'!E67+'20'!F67+'20'!E71+'20'!F71,0,"sum({F 20.06, r070, c010, (sNNN)}) = {F 20.02, r040, c010} + {F 20.02, r040, c020} + {F 20.02, r080, c010} + {F 20.02, r080, c020} + {F 20.02, r120, c010} + {F 20.02, r120, c020}"),0)</f>
        <v>0</v>
      </c>
    </row>
    <row r="82" spans="1:15">
      <c r="A82" s="1156" t="str">
        <f t="shared" si="6"/>
        <v>F-20.06_080</v>
      </c>
      <c r="B82" s="645" t="s">
        <v>299</v>
      </c>
      <c r="C82" s="788" t="s">
        <v>99</v>
      </c>
      <c r="D82" s="14" t="s">
        <v>1713</v>
      </c>
      <c r="E82" s="932"/>
      <c r="F82" s="660"/>
      <c r="G82" s="1814">
        <f>IF($E$82&gt;=0,0,"F20.6&gt;=0")</f>
        <v>0</v>
      </c>
    </row>
    <row r="83" spans="1:15">
      <c r="A83" s="1156" t="str">
        <f t="shared" si="6"/>
        <v>F-20.06_090</v>
      </c>
      <c r="B83" s="645" t="s">
        <v>300</v>
      </c>
      <c r="C83" s="788" t="s">
        <v>100</v>
      </c>
      <c r="D83" s="14" t="s">
        <v>1714</v>
      </c>
      <c r="E83" s="932"/>
      <c r="F83" s="660"/>
      <c r="G83" s="1814">
        <f>IF($E$83&gt;=0,0,"F20.6&gt;=0")</f>
        <v>0</v>
      </c>
    </row>
    <row r="84" spans="1:15">
      <c r="A84" s="1156" t="str">
        <f t="shared" si="6"/>
        <v>F-20.06_100</v>
      </c>
      <c r="B84" s="645" t="s">
        <v>301</v>
      </c>
      <c r="C84" s="788" t="s">
        <v>101</v>
      </c>
      <c r="D84" s="14" t="s">
        <v>1709</v>
      </c>
      <c r="E84" s="932"/>
      <c r="F84" s="660"/>
      <c r="G84" s="1814">
        <f>IF($E$84&gt;=0,0,"F20.6&gt;=0")</f>
        <v>0</v>
      </c>
    </row>
    <row r="85" spans="1:15">
      <c r="A85" s="1156" t="str">
        <f t="shared" si="6"/>
        <v>F-20.06_110</v>
      </c>
      <c r="B85" s="645" t="s">
        <v>302</v>
      </c>
      <c r="C85" s="788" t="s">
        <v>102</v>
      </c>
      <c r="D85" s="14" t="s">
        <v>1710</v>
      </c>
      <c r="E85" s="932"/>
      <c r="F85" s="660"/>
      <c r="G85" s="1814">
        <f>IF($E$85&gt;=0,0,"F20.6&gt;=0")</f>
        <v>0</v>
      </c>
    </row>
    <row r="86" spans="1:15">
      <c r="A86" s="1156" t="str">
        <f t="shared" si="6"/>
        <v>F-20.06_120</v>
      </c>
      <c r="B86" s="645" t="s">
        <v>303</v>
      </c>
      <c r="C86" s="789" t="s">
        <v>703</v>
      </c>
      <c r="D86" s="14" t="s">
        <v>1711</v>
      </c>
      <c r="E86" s="932"/>
      <c r="F86" s="660"/>
      <c r="G86" s="1814">
        <f>IF($E$86&gt;=0,0,"F20.6&gt;=0")</f>
        <v>0</v>
      </c>
    </row>
    <row r="87" spans="1:15">
      <c r="A87" s="1156" t="str">
        <f t="shared" si="6"/>
        <v>F-20.06_130</v>
      </c>
      <c r="B87" s="790" t="s">
        <v>304</v>
      </c>
      <c r="C87" s="791" t="s">
        <v>128</v>
      </c>
      <c r="D87" s="43" t="s">
        <v>1717</v>
      </c>
      <c r="E87" s="936"/>
      <c r="F87" s="660"/>
      <c r="G87" s="1814">
        <f>IF($E$87&gt;=0,0,"F20.6&gt;=0")</f>
        <v>0</v>
      </c>
    </row>
    <row r="88" spans="1:15">
      <c r="A88" s="1100" t="s">
        <v>718</v>
      </c>
      <c r="B88" s="772"/>
      <c r="C88" s="660"/>
      <c r="D88" s="774"/>
      <c r="E88" s="850"/>
      <c r="F88" s="660"/>
      <c r="G88" s="660"/>
    </row>
    <row r="89" spans="1:15">
      <c r="A89" s="1156" t="s">
        <v>724</v>
      </c>
    </row>
    <row r="90" spans="1:15" s="1097" customFormat="1" ht="18" hidden="1" customHeight="1">
      <c r="A90" s="1096" t="s">
        <v>2257</v>
      </c>
      <c r="B90" s="1118">
        <v>2</v>
      </c>
      <c r="C90" s="1118">
        <v>1</v>
      </c>
      <c r="D90" s="1119">
        <v>14</v>
      </c>
      <c r="E90" s="1182">
        <v>5</v>
      </c>
      <c r="F90" s="1120">
        <v>3</v>
      </c>
      <c r="G90" s="1121">
        <v>4</v>
      </c>
      <c r="H90" s="1122">
        <v>4</v>
      </c>
      <c r="I90" s="1122">
        <v>4</v>
      </c>
      <c r="J90" s="1123">
        <v>4</v>
      </c>
      <c r="K90" s="1123">
        <v>5</v>
      </c>
      <c r="L90" s="1124">
        <v>4</v>
      </c>
      <c r="M90" s="1124">
        <v>6</v>
      </c>
      <c r="N90" s="1125">
        <v>4</v>
      </c>
      <c r="O90" s="1125">
        <v>7</v>
      </c>
    </row>
    <row r="91" spans="1:15" s="1097" customFormat="1" ht="18" hidden="1" customHeight="1">
      <c r="A91" s="1096" t="str">
        <f>Index!$A$2</f>
        <v>V20181222</v>
      </c>
      <c r="B91" s="1098"/>
      <c r="C91" s="1099"/>
      <c r="D91" s="1100"/>
      <c r="E91" s="1100" t="str">
        <f>$A$90&amp;"_"&amp;E103</f>
        <v>F-20.07.1_010</v>
      </c>
      <c r="F91" s="1100" t="str">
        <f t="shared" ref="F91:I91" si="7">$A$90&amp;"_"&amp;F103</f>
        <v>F-20.07.1_011</v>
      </c>
      <c r="G91" s="1100" t="str">
        <f t="shared" si="7"/>
        <v>F-20.07.1_012</v>
      </c>
      <c r="H91" s="1100" t="str">
        <f t="shared" si="7"/>
        <v>F-20.07.1_021</v>
      </c>
      <c r="I91" s="1100" t="str">
        <f t="shared" si="7"/>
        <v>F-20.07.1_022</v>
      </c>
      <c r="J91" s="1100"/>
      <c r="K91" s="1100"/>
      <c r="L91" s="1100"/>
      <c r="M91" s="1100"/>
      <c r="N91" s="1100"/>
      <c r="O91" s="1101"/>
    </row>
    <row r="92" spans="1:15" s="1097" customFormat="1" ht="18" hidden="1" customHeight="1">
      <c r="A92" s="1096" t="str">
        <f>"R:A1:P"&amp;ROW(A217)+1</f>
        <v>R:A1:P218</v>
      </c>
      <c r="B92" s="1102"/>
      <c r="C92" s="1103"/>
      <c r="D92" s="1104"/>
      <c r="E92" s="1105"/>
      <c r="F92" s="1106"/>
      <c r="G92" s="1107"/>
      <c r="H92" s="1107"/>
      <c r="I92" s="1107"/>
      <c r="J92" s="1107"/>
      <c r="K92" s="1107"/>
      <c r="L92" s="1107"/>
    </row>
    <row r="93" spans="1:15" s="1097" customFormat="1" ht="18" hidden="1" customHeight="1">
      <c r="A93" s="1096"/>
      <c r="B93" s="1102"/>
      <c r="C93" s="1103"/>
      <c r="D93" s="1108"/>
      <c r="E93" s="1109"/>
      <c r="F93" s="1110" t="str">
        <f>$D$9</f>
        <v>CY</v>
      </c>
      <c r="G93" s="1111">
        <f>O94</f>
        <v>0</v>
      </c>
      <c r="H93" s="1107"/>
      <c r="I93" s="1107"/>
      <c r="J93" s="1107"/>
      <c r="K93" s="1107"/>
      <c r="L93" s="1107"/>
    </row>
    <row r="94" spans="1:15" s="1097" customFormat="1" ht="18" hidden="1" customHeight="1">
      <c r="A94" s="1096"/>
      <c r="B94" s="1102"/>
      <c r="C94" s="1103"/>
      <c r="D94" s="1112"/>
      <c r="E94" s="1113"/>
      <c r="F94" s="1114"/>
      <c r="O94" s="1097">
        <f>COUNTIF(J104:Q124,"&lt;&gt;0")-COUNTBLANK(J104:Q124)+COUNTIF(E124:I124,"&lt;&gt;0")-COUNTBLANK(E124:I124)</f>
        <v>0</v>
      </c>
    </row>
    <row r="95" spans="1:15" s="1116" customFormat="1">
      <c r="A95" s="1100" t="s">
        <v>718</v>
      </c>
      <c r="B95" s="1115"/>
    </row>
    <row r="96" spans="1:15">
      <c r="A96" s="1100" t="s">
        <v>718</v>
      </c>
      <c r="B96" s="1755" t="s">
        <v>1738</v>
      </c>
      <c r="C96" s="792"/>
    </row>
    <row r="97" spans="1:17">
      <c r="A97" s="1100" t="s">
        <v>718</v>
      </c>
      <c r="C97" s="793"/>
    </row>
    <row r="98" spans="1:17">
      <c r="A98" s="1100" t="s">
        <v>718</v>
      </c>
      <c r="C98" s="794"/>
    </row>
    <row r="99" spans="1:17" ht="25.5" customHeight="1">
      <c r="A99" s="1100" t="s">
        <v>718</v>
      </c>
      <c r="B99" s="795"/>
      <c r="C99" s="796"/>
      <c r="D99" s="2110" t="s">
        <v>551</v>
      </c>
      <c r="E99" s="1978" t="s">
        <v>1740</v>
      </c>
      <c r="F99" s="2045"/>
      <c r="G99" s="2045"/>
      <c r="H99" s="2045"/>
      <c r="I99" s="2044"/>
    </row>
    <row r="100" spans="1:17">
      <c r="A100" s="1100"/>
      <c r="B100" s="800"/>
      <c r="C100" s="1525"/>
      <c r="D100" s="2111"/>
      <c r="E100" s="2118" t="s">
        <v>181</v>
      </c>
      <c r="F100" s="1815"/>
      <c r="G100" s="1815"/>
      <c r="H100" s="2120" t="s">
        <v>149</v>
      </c>
      <c r="I100" s="2120" t="s">
        <v>1727</v>
      </c>
    </row>
    <row r="101" spans="1:17" s="799" customFormat="1" ht="72" customHeight="1">
      <c r="A101" s="1100" t="s">
        <v>718</v>
      </c>
      <c r="B101" s="797"/>
      <c r="C101" s="798"/>
      <c r="D101" s="2111"/>
      <c r="E101" s="2119"/>
      <c r="F101" s="1515" t="s">
        <v>1741</v>
      </c>
      <c r="G101" s="1526" t="s">
        <v>694</v>
      </c>
      <c r="H101" s="2117"/>
      <c r="I101" s="2117"/>
    </row>
    <row r="102" spans="1:17" ht="31.5">
      <c r="A102" s="1100" t="s">
        <v>718</v>
      </c>
      <c r="B102" s="800"/>
      <c r="C102" s="801"/>
      <c r="D102" s="2111"/>
      <c r="E102" s="1518" t="s">
        <v>1742</v>
      </c>
      <c r="F102" s="584" t="s">
        <v>1722</v>
      </c>
      <c r="G102" s="584" t="s">
        <v>1725</v>
      </c>
      <c r="H102" s="584" t="s">
        <v>1726</v>
      </c>
      <c r="I102" s="1754" t="s">
        <v>1726</v>
      </c>
    </row>
    <row r="103" spans="1:17">
      <c r="A103" s="1100" t="s">
        <v>718</v>
      </c>
      <c r="B103" s="802"/>
      <c r="C103" s="803"/>
      <c r="D103" s="2112"/>
      <c r="E103" s="441" t="s">
        <v>292</v>
      </c>
      <c r="F103" s="1524" t="s">
        <v>1723</v>
      </c>
      <c r="G103" s="441" t="s">
        <v>695</v>
      </c>
      <c r="H103" s="418" t="s">
        <v>697</v>
      </c>
      <c r="I103" s="1786" t="s">
        <v>699</v>
      </c>
    </row>
    <row r="104" spans="1:17">
      <c r="A104" s="1156" t="str">
        <f>$A$90&amp;"_"&amp;B104</f>
        <v>F-20.07.1_010</v>
      </c>
      <c r="B104" s="804" t="s">
        <v>292</v>
      </c>
      <c r="C104" s="805" t="s">
        <v>182</v>
      </c>
      <c r="D104" s="806" t="s">
        <v>371</v>
      </c>
      <c r="E104" s="937"/>
      <c r="F104" s="937"/>
      <c r="G104" s="937"/>
      <c r="H104" s="1782"/>
      <c r="I104" s="1782"/>
      <c r="J104" s="1476">
        <f>IF($E$104&gt;=0,0,"F20.7,c10&gt;=0")</f>
        <v>0</v>
      </c>
      <c r="K104" s="1476">
        <f>IF(F104&gt;=0,0,"F20.7,c11&gt;=0")</f>
        <v>0</v>
      </c>
      <c r="L104" s="1476">
        <f>IF(G104&gt;=0,0,"F20.7,c12&gt;=0")</f>
        <v>0</v>
      </c>
      <c r="M104" s="1832">
        <f>IF($E$11="Y", IF(E104='6'!E16,0,"{F 06.01, c010} = sum({F 20.07.1, c010, (sNNN)})"),0)</f>
        <v>0</v>
      </c>
      <c r="N104" s="1840">
        <f>IF($E$11="Y", IF(G104='6'!G16,0,"{F 06.01, c012} = sum({F 20.07.1, c012, (sNNN)})"),0)</f>
        <v>0</v>
      </c>
      <c r="O104" s="1840">
        <f>IF($E$11="Y", IF(H104='6'!H16,0,"{F 06.01, c021} = sum({F 20.07.1, c021, (sNNN)})"),0)</f>
        <v>0</v>
      </c>
      <c r="P104" s="1840">
        <f>IF($E$11="Y", IF(F104='6'!F16,0,"{F 06.01, c011} = sum({F 20.07.1, c011, (sNNN)})"),0)</f>
        <v>0</v>
      </c>
      <c r="Q104" s="1840">
        <f>IF($E$11="Y", IF(I104='6'!I16,0,"{F 06.01, c022} = sum({F 20.07.1, c022, (sNNN)})"),0)</f>
        <v>0</v>
      </c>
    </row>
    <row r="105" spans="1:17">
      <c r="A105" s="1156" t="str">
        <f t="shared" ref="A105:A123" si="8">$A$90&amp;"_"&amp;B105</f>
        <v>F-20.07.1_020</v>
      </c>
      <c r="B105" s="807" t="s">
        <v>293</v>
      </c>
      <c r="C105" s="808" t="s">
        <v>183</v>
      </c>
      <c r="D105" s="809" t="s">
        <v>371</v>
      </c>
      <c r="E105" s="938"/>
      <c r="F105" s="938"/>
      <c r="G105" s="938"/>
      <c r="H105" s="1380"/>
      <c r="I105" s="1380"/>
      <c r="J105" s="1476">
        <f>IF($E$105&gt;=0,0,"F20.7,c10&gt;=0")</f>
        <v>0</v>
      </c>
      <c r="K105" s="1476">
        <f t="shared" ref="K105:K123" si="9">IF(F105&gt;=0,0,"F20.7,c11&gt;=0")</f>
        <v>0</v>
      </c>
      <c r="L105" s="1476">
        <f t="shared" ref="L105:L123" si="10">IF(G105&gt;=0,0,"F20.7,c12&gt;=0")</f>
        <v>0</v>
      </c>
      <c r="M105" s="1832">
        <f>IF($E$11="Y", IF(E105='6'!E17,0,"{F 06.01, c010} = sum({F 20.07.1, c010, (sNNN)})"),0)</f>
        <v>0</v>
      </c>
      <c r="N105" s="1840">
        <f>IF($E$11="Y", IF(G105='6'!G17,0,"{F 06.01, c012} = sum({F 20.07.1, c012, (sNNN)})"),0)</f>
        <v>0</v>
      </c>
      <c r="O105" s="1840">
        <f>IF($E$11="Y", IF(H105='6'!H17,0,"{F 06.01, c021} = sum({F 20.07.1, c021, (sNNN)})"),0)</f>
        <v>0</v>
      </c>
      <c r="P105" s="1840">
        <f>IF($E$11="Y", IF(F105='6'!F17,0,"{F 06.01, c011} = sum({F 20.07.1, c011, (sNNN)})"),0)</f>
        <v>0</v>
      </c>
      <c r="Q105" s="1840">
        <f>IF($E$11="Y", IF(I105='6'!I17,0,"{F 06.01, c022} = sum({F 20.07.1, c022, (sNNN)})"),0)</f>
        <v>0</v>
      </c>
    </row>
    <row r="106" spans="1:17">
      <c r="A106" s="1156" t="str">
        <f t="shared" si="8"/>
        <v>F-20.07.1_030</v>
      </c>
      <c r="B106" s="807" t="s">
        <v>294</v>
      </c>
      <c r="C106" s="808" t="s">
        <v>184</v>
      </c>
      <c r="D106" s="809" t="s">
        <v>371</v>
      </c>
      <c r="E106" s="938"/>
      <c r="F106" s="938"/>
      <c r="G106" s="938"/>
      <c r="H106" s="1380"/>
      <c r="I106" s="1380"/>
      <c r="J106" s="1476">
        <f>IF($E$106&gt;=0,0,"F20.7,c10&gt;=0")</f>
        <v>0</v>
      </c>
      <c r="K106" s="1476">
        <f t="shared" si="9"/>
        <v>0</v>
      </c>
      <c r="L106" s="1476">
        <f t="shared" si="10"/>
        <v>0</v>
      </c>
      <c r="M106" s="1832">
        <f>IF($E$11="Y", IF(E106='6'!E18,0,"{F 06.01, c010} = sum({F 20.07.1, c010, (sNNN)})"),0)</f>
        <v>0</v>
      </c>
      <c r="N106" s="1840">
        <f>IF($E$11="Y", IF(G106='6'!G18,0,"{F 06.01, c012} = sum({F 20.07.1, c012, (sNNN)})"),0)</f>
        <v>0</v>
      </c>
      <c r="O106" s="1840">
        <f>IF($E$11="Y", IF(H106='6'!H18,0,"{F 06.01, c021} = sum({F 20.07.1, c021, (sNNN)})"),0)</f>
        <v>0</v>
      </c>
      <c r="P106" s="1840">
        <f>IF($E$11="Y", IF(F106='6'!F18,0,"{F 06.01, c011} = sum({F 20.07.1, c011, (sNNN)})"),0)</f>
        <v>0</v>
      </c>
      <c r="Q106" s="1840">
        <f>IF($E$11="Y", IF(I106='6'!I18,0,"{F 06.01, c022} = sum({F 20.07.1, c022, (sNNN)})"),0)</f>
        <v>0</v>
      </c>
    </row>
    <row r="107" spans="1:17">
      <c r="A107" s="1156" t="str">
        <f t="shared" si="8"/>
        <v>F-20.07.1_040</v>
      </c>
      <c r="B107" s="807" t="s">
        <v>295</v>
      </c>
      <c r="C107" s="808" t="s">
        <v>185</v>
      </c>
      <c r="D107" s="809" t="s">
        <v>371</v>
      </c>
      <c r="E107" s="938"/>
      <c r="F107" s="938"/>
      <c r="G107" s="938"/>
      <c r="H107" s="1380"/>
      <c r="I107" s="1380"/>
      <c r="J107" s="1476">
        <f>IF($E$107&gt;=0,0,"F20.7,c10&gt;=0")</f>
        <v>0</v>
      </c>
      <c r="K107" s="1476">
        <f t="shared" si="9"/>
        <v>0</v>
      </c>
      <c r="L107" s="1476">
        <f t="shared" si="10"/>
        <v>0</v>
      </c>
      <c r="M107" s="1832">
        <f>IF($E$11="Y", IF(E107='6'!E19,0,"{F 06.01, c010} = sum({F 20.07.1, c010, (sNNN)})"),0)</f>
        <v>0</v>
      </c>
      <c r="N107" s="1840">
        <f>IF($E$11="Y", IF(G107='6'!G19,0,"{F 06.01, c012} = sum({F 20.07.1, c012, (sNNN)})"),0)</f>
        <v>0</v>
      </c>
      <c r="O107" s="1840">
        <f>IF($E$11="Y", IF(H107='6'!H19,0,"{F 06.01, c021} = sum({F 20.07.1, c021, (sNNN)})"),0)</f>
        <v>0</v>
      </c>
      <c r="P107" s="1840">
        <f>IF($E$11="Y", IF(F107='6'!F19,0,"{F 06.01, c011} = sum({F 20.07.1, c011, (sNNN)})"),0)</f>
        <v>0</v>
      </c>
      <c r="Q107" s="1840">
        <f>IF($E$11="Y", IF(I107='6'!I19,0,"{F 06.01, c022} = sum({F 20.07.1, c022, (sNNN)})"),0)</f>
        <v>0</v>
      </c>
    </row>
    <row r="108" spans="1:17">
      <c r="A108" s="1156" t="str">
        <f t="shared" si="8"/>
        <v>F-20.07.1_050</v>
      </c>
      <c r="B108" s="807" t="s">
        <v>296</v>
      </c>
      <c r="C108" s="808" t="s">
        <v>186</v>
      </c>
      <c r="D108" s="809" t="s">
        <v>371</v>
      </c>
      <c r="E108" s="938"/>
      <c r="F108" s="938"/>
      <c r="G108" s="938"/>
      <c r="H108" s="1380"/>
      <c r="I108" s="1380"/>
      <c r="J108" s="1476">
        <f>IF($E$108&gt;=0,0,"F20.7,c10&gt;=0")</f>
        <v>0</v>
      </c>
      <c r="K108" s="1476">
        <f t="shared" si="9"/>
        <v>0</v>
      </c>
      <c r="L108" s="1476">
        <f t="shared" si="10"/>
        <v>0</v>
      </c>
      <c r="M108" s="1832">
        <f>IF($E$11="Y", IF(E108='6'!E20,0,"{F 06.01, c010} = sum({F 20.07.1, c010, (sNNN)})"),0)</f>
        <v>0</v>
      </c>
      <c r="N108" s="1840">
        <f>IF($E$11="Y", IF(G108='6'!G20,0,"{F 06.01, c012} = sum({F 20.07.1, c012, (sNNN)})"),0)</f>
        <v>0</v>
      </c>
      <c r="O108" s="1840">
        <f>IF($E$11="Y", IF(H108='6'!H20,0,"{F 06.01, c021} = sum({F 20.07.1, c021, (sNNN)})"),0)</f>
        <v>0</v>
      </c>
      <c r="P108" s="1840">
        <f>IF($E$11="Y", IF(F108='6'!F20,0,"{F 06.01, c011} = sum({F 20.07.1, c011, (sNNN)})"),0)</f>
        <v>0</v>
      </c>
      <c r="Q108" s="1840">
        <f>IF($E$11="Y", IF(I108='6'!I20,0,"{F 06.01, c022} = sum({F 20.07.1, c022, (sNNN)})"),0)</f>
        <v>0</v>
      </c>
    </row>
    <row r="109" spans="1:17">
      <c r="A109" s="1156" t="str">
        <f t="shared" si="8"/>
        <v>F-20.07.1_060</v>
      </c>
      <c r="B109" s="807" t="s">
        <v>297</v>
      </c>
      <c r="C109" s="808" t="s">
        <v>187</v>
      </c>
      <c r="D109" s="809" t="s">
        <v>371</v>
      </c>
      <c r="E109" s="938"/>
      <c r="F109" s="938"/>
      <c r="G109" s="938"/>
      <c r="H109" s="1380"/>
      <c r="I109" s="1380"/>
      <c r="J109" s="1476">
        <f>IF($E$109&gt;=0,0,"F20.7,c10&gt;=0")</f>
        <v>0</v>
      </c>
      <c r="K109" s="1476">
        <f t="shared" si="9"/>
        <v>0</v>
      </c>
      <c r="L109" s="1476">
        <f t="shared" si="10"/>
        <v>0</v>
      </c>
      <c r="M109" s="1832">
        <f>IF($E$11="Y", IF(E109='6'!E21,0,"{F 06.01, c010} = sum({F 20.07.1, c010, (sNNN)})"),0)</f>
        <v>0</v>
      </c>
      <c r="N109" s="1840">
        <f>IF($E$11="Y", IF(G109='6'!G21,0,"{F 06.01, c012} = sum({F 20.07.1, c012, (sNNN)})"),0)</f>
        <v>0</v>
      </c>
      <c r="O109" s="1840">
        <f>IF($E$11="Y", IF(H109='6'!H21,0,"{F 06.01, c021} = sum({F 20.07.1, c021, (sNNN)})"),0)</f>
        <v>0</v>
      </c>
      <c r="P109" s="1840">
        <f>IF($E$11="Y", IF(F109='6'!F21,0,"{F 06.01, c011} = sum({F 20.07.1, c011, (sNNN)})"),0)</f>
        <v>0</v>
      </c>
      <c r="Q109" s="1840">
        <f>IF($E$11="Y", IF(I109='6'!I21,0,"{F 06.01, c022} = sum({F 20.07.1, c022, (sNNN)})"),0)</f>
        <v>0</v>
      </c>
    </row>
    <row r="110" spans="1:17">
      <c r="A110" s="1156" t="str">
        <f t="shared" si="8"/>
        <v>F-20.07.1_070</v>
      </c>
      <c r="B110" s="807" t="s">
        <v>298</v>
      </c>
      <c r="C110" s="808" t="s">
        <v>188</v>
      </c>
      <c r="D110" s="809" t="s">
        <v>371</v>
      </c>
      <c r="E110" s="938"/>
      <c r="F110" s="938"/>
      <c r="G110" s="938"/>
      <c r="H110" s="1380"/>
      <c r="I110" s="1380"/>
      <c r="J110" s="1476">
        <f>IF($E$110&gt;=0,0,"F20.7,c10&gt;=0")</f>
        <v>0</v>
      </c>
      <c r="K110" s="1476">
        <f t="shared" si="9"/>
        <v>0</v>
      </c>
      <c r="L110" s="1476">
        <f t="shared" si="10"/>
        <v>0</v>
      </c>
      <c r="M110" s="1832">
        <f>IF($E$11="Y", IF(E110='6'!E22,0,"{F 06.01, c010} = sum({F 20.07.1, c010, (sNNN)})"),0)</f>
        <v>0</v>
      </c>
      <c r="N110" s="1840">
        <f>IF($E$11="Y", IF(G110='6'!G22,0,"{F 06.01, c012} = sum({F 20.07.1, c012, (sNNN)})"),0)</f>
        <v>0</v>
      </c>
      <c r="O110" s="1840">
        <f>IF($E$11="Y", IF(H110='6'!H22,0,"{F 06.01, c021} = sum({F 20.07.1, c021, (sNNN)})"),0)</f>
        <v>0</v>
      </c>
      <c r="P110" s="1840">
        <f>IF($E$11="Y", IF(F110='6'!F22,0,"{F 06.01, c011} = sum({F 20.07.1, c011, (sNNN)})"),0)</f>
        <v>0</v>
      </c>
      <c r="Q110" s="1840">
        <f>IF($E$11="Y", IF(I110='6'!I22,0,"{F 06.01, c022} = sum({F 20.07.1, c022, (sNNN)})"),0)</f>
        <v>0</v>
      </c>
    </row>
    <row r="111" spans="1:17">
      <c r="A111" s="1156" t="str">
        <f t="shared" si="8"/>
        <v>F-20.07.1_080</v>
      </c>
      <c r="B111" s="807" t="s">
        <v>299</v>
      </c>
      <c r="C111" s="808" t="s">
        <v>189</v>
      </c>
      <c r="D111" s="809" t="s">
        <v>371</v>
      </c>
      <c r="E111" s="938"/>
      <c r="F111" s="938"/>
      <c r="G111" s="938"/>
      <c r="H111" s="1380"/>
      <c r="I111" s="1380"/>
      <c r="J111" s="1476">
        <f>IF($E$111&gt;=0,0,"F20.7,c10&gt;=0")</f>
        <v>0</v>
      </c>
      <c r="K111" s="1476">
        <f t="shared" si="9"/>
        <v>0</v>
      </c>
      <c r="L111" s="1476">
        <f t="shared" si="10"/>
        <v>0</v>
      </c>
      <c r="M111" s="1832">
        <f>IF($E$11="Y", IF(E111='6'!E23,0,"{F 06.01, c010} = sum({F 20.07.1, c010, (sNNN)})"),0)</f>
        <v>0</v>
      </c>
      <c r="N111" s="1840">
        <f>IF($E$11="Y", IF(G111='6'!G23,0,"{F 06.01, c012} = sum({F 20.07.1, c012, (sNNN)})"),0)</f>
        <v>0</v>
      </c>
      <c r="O111" s="1840">
        <f>IF($E$11="Y", IF(H111='6'!H23,0,"{F 06.01, c021} = sum({F 20.07.1, c021, (sNNN)})"),0)</f>
        <v>0</v>
      </c>
      <c r="P111" s="1840">
        <f>IF($E$11="Y", IF(F111='6'!F23,0,"{F 06.01, c011} = sum({F 20.07.1, c011, (sNNN)})"),0)</f>
        <v>0</v>
      </c>
      <c r="Q111" s="1840">
        <f>IF($E$11="Y", IF(I111='6'!I23,0,"{F 06.01, c022} = sum({F 20.07.1, c022, (sNNN)})"),0)</f>
        <v>0</v>
      </c>
    </row>
    <row r="112" spans="1:17">
      <c r="A112" s="1156" t="str">
        <f t="shared" si="8"/>
        <v>F-20.07.1_090</v>
      </c>
      <c r="B112" s="807" t="s">
        <v>300</v>
      </c>
      <c r="C112" s="808" t="s">
        <v>190</v>
      </c>
      <c r="D112" s="809" t="s">
        <v>371</v>
      </c>
      <c r="E112" s="938"/>
      <c r="F112" s="938"/>
      <c r="G112" s="938"/>
      <c r="H112" s="1380"/>
      <c r="I112" s="1380"/>
      <c r="J112" s="1476">
        <f>IF($E$112&gt;=0,0,"F20.7,c10&gt;=0")</f>
        <v>0</v>
      </c>
      <c r="K112" s="1476">
        <f t="shared" si="9"/>
        <v>0</v>
      </c>
      <c r="L112" s="1476">
        <f t="shared" si="10"/>
        <v>0</v>
      </c>
      <c r="M112" s="1832">
        <f>IF($E$11="Y", IF(E112='6'!E24,0,"{F 06.01, c010} = sum({F 20.07.1, c010, (sNNN)})"),0)</f>
        <v>0</v>
      </c>
      <c r="N112" s="1840">
        <f>IF($E$11="Y", IF(G112='6'!G24,0,"{F 06.01, c012} = sum({F 20.07.1, c012, (sNNN)})"),0)</f>
        <v>0</v>
      </c>
      <c r="O112" s="1840">
        <f>IF($E$11="Y", IF(H112='6'!H24,0,"{F 06.01, c021} = sum({F 20.07.1, c021, (sNNN)})"),0)</f>
        <v>0</v>
      </c>
      <c r="P112" s="1840">
        <f>IF($E$11="Y", IF(F112='6'!F24,0,"{F 06.01, c011} = sum({F 20.07.1, c011, (sNNN)})"),0)</f>
        <v>0</v>
      </c>
      <c r="Q112" s="1840">
        <f>IF($E$11="Y", IF(I112='6'!I24,0,"{F 06.01, c022} = sum({F 20.07.1, c022, (sNNN)})"),0)</f>
        <v>0</v>
      </c>
    </row>
    <row r="113" spans="1:17">
      <c r="A113" s="1156" t="str">
        <f t="shared" si="8"/>
        <v>F-20.07.1_100</v>
      </c>
      <c r="B113" s="807" t="s">
        <v>301</v>
      </c>
      <c r="C113" s="808" t="s">
        <v>191</v>
      </c>
      <c r="D113" s="809" t="s">
        <v>371</v>
      </c>
      <c r="E113" s="938"/>
      <c r="F113" s="938"/>
      <c r="G113" s="938"/>
      <c r="H113" s="1380"/>
      <c r="I113" s="1380"/>
      <c r="J113" s="1476">
        <f>IF($E$113&gt;=0,0,"F20.7,c10&gt;=0")</f>
        <v>0</v>
      </c>
      <c r="K113" s="1476">
        <f t="shared" si="9"/>
        <v>0</v>
      </c>
      <c r="L113" s="1476">
        <f t="shared" si="10"/>
        <v>0</v>
      </c>
      <c r="M113" s="1832">
        <f>IF($E$11="Y", IF(E113='6'!E25,0,"{F 06.01, c010} = sum({F 20.07.1, c010, (sNNN)})"),0)</f>
        <v>0</v>
      </c>
      <c r="N113" s="1840">
        <f>IF($E$11="Y", IF(G113='6'!G25,0,"{F 06.01, c012} = sum({F 20.07.1, c012, (sNNN)})"),0)</f>
        <v>0</v>
      </c>
      <c r="O113" s="1840">
        <f>IF($E$11="Y", IF(H113='6'!H25,0,"{F 06.01, c021} = sum({F 20.07.1, c021, (sNNN)})"),0)</f>
        <v>0</v>
      </c>
      <c r="P113" s="1840">
        <f>IF($E$11="Y", IF(F113='6'!F25,0,"{F 06.01, c011} = sum({F 20.07.1, c011, (sNNN)})"),0)</f>
        <v>0</v>
      </c>
      <c r="Q113" s="1840">
        <f>IF($E$11="Y", IF(I113='6'!I25,0,"{F 06.01, c022} = sum({F 20.07.1, c022, (sNNN)})"),0)</f>
        <v>0</v>
      </c>
    </row>
    <row r="114" spans="1:17">
      <c r="A114" s="1156" t="str">
        <f t="shared" si="8"/>
        <v>F-20.07.1_105</v>
      </c>
      <c r="B114" s="1756">
        <v>105</v>
      </c>
      <c r="C114" s="808" t="s">
        <v>1739</v>
      </c>
      <c r="D114" s="809" t="s">
        <v>371</v>
      </c>
      <c r="E114" s="938"/>
      <c r="F114" s="938"/>
      <c r="G114" s="938"/>
      <c r="H114" s="1380"/>
      <c r="I114" s="1380"/>
      <c r="J114" s="1476">
        <f>IF($E$114&gt;=0,0,"F20.7,c10&gt;=0")</f>
        <v>0</v>
      </c>
      <c r="K114" s="1476">
        <f t="shared" si="9"/>
        <v>0</v>
      </c>
      <c r="L114" s="1476">
        <f t="shared" si="10"/>
        <v>0</v>
      </c>
      <c r="M114" s="1832">
        <f>IF($E$11="Y", IF(E114='6'!E26,0,"{F 06.01, c010} = sum({F 20.07.1, c010, (sNNN)})"),0)</f>
        <v>0</v>
      </c>
      <c r="N114" s="1840">
        <f>IF($E$11="Y", IF(G114='6'!G26,0,"{F 06.01, c012} = sum({F 20.07.1, c012, (sNNN)})"),0)</f>
        <v>0</v>
      </c>
      <c r="O114" s="1840">
        <f>IF($E$11="Y", IF(H114='6'!H26,0,"{F 06.01, c021} = sum({F 20.07.1, c021, (sNNN)})"),0)</f>
        <v>0</v>
      </c>
      <c r="P114" s="1840">
        <f>IF($E$11="Y", IF(F114='6'!F26,0,"{F 06.01, c011} = sum({F 20.07.1, c011, (sNNN)})"),0)</f>
        <v>0</v>
      </c>
      <c r="Q114" s="1840">
        <f>IF($E$11="Y", IF(I114='6'!I26,0,"{F 06.01, c022} = sum({F 20.07.1, c022, (sNNN)})"),0)</f>
        <v>0</v>
      </c>
    </row>
    <row r="115" spans="1:17">
      <c r="A115" s="1156" t="str">
        <f t="shared" si="8"/>
        <v>F-20.07.1_110</v>
      </c>
      <c r="B115" s="807" t="s">
        <v>302</v>
      </c>
      <c r="C115" s="808" t="s">
        <v>192</v>
      </c>
      <c r="D115" s="809" t="s">
        <v>371</v>
      </c>
      <c r="E115" s="938"/>
      <c r="F115" s="938"/>
      <c r="G115" s="938"/>
      <c r="H115" s="1380"/>
      <c r="I115" s="1380"/>
      <c r="J115" s="1476">
        <f>IF($E$115&gt;=0,0,"F20.7,c10&gt;=0")</f>
        <v>0</v>
      </c>
      <c r="K115" s="1476">
        <f t="shared" si="9"/>
        <v>0</v>
      </c>
      <c r="L115" s="1476">
        <f t="shared" si="10"/>
        <v>0</v>
      </c>
      <c r="M115" s="1832">
        <f>IF($E$11="Y", IF(E115='6'!E27,0,"{F 06.01, c010} = sum({F 20.07.1, c010, (sNNN)})"),0)</f>
        <v>0</v>
      </c>
      <c r="N115" s="1840">
        <f>IF($E$11="Y", IF(G115='6'!G27,0,"{F 06.01, c012} = sum({F 20.07.1, c012, (sNNN)})"),0)</f>
        <v>0</v>
      </c>
      <c r="O115" s="1840">
        <f>IF($E$11="Y", IF(H115='6'!H27,0,"{F 06.01, c021} = sum({F 20.07.1, c021, (sNNN)})"),0)</f>
        <v>0</v>
      </c>
      <c r="P115" s="1840">
        <f>IF($E$11="Y", IF(F115='6'!F27,0,"{F 06.01, c011} = sum({F 20.07.1, c011, (sNNN)})"),0)</f>
        <v>0</v>
      </c>
      <c r="Q115" s="1840">
        <f>IF($E$11="Y", IF(I115='6'!I27,0,"{F 06.01, c022} = sum({F 20.07.1, c022, (sNNN)})"),0)</f>
        <v>0</v>
      </c>
    </row>
    <row r="116" spans="1:17">
      <c r="A116" s="1156" t="str">
        <f t="shared" si="8"/>
        <v>F-20.07.1_120</v>
      </c>
      <c r="B116" s="807" t="s">
        <v>303</v>
      </c>
      <c r="C116" s="808" t="s">
        <v>249</v>
      </c>
      <c r="D116" s="809" t="s">
        <v>371</v>
      </c>
      <c r="E116" s="938"/>
      <c r="F116" s="938"/>
      <c r="G116" s="938"/>
      <c r="H116" s="1380"/>
      <c r="I116" s="1380"/>
      <c r="J116" s="1476">
        <f>IF($E$116&gt;=0,0,"F20.7,c10&gt;=0")</f>
        <v>0</v>
      </c>
      <c r="K116" s="1476">
        <f t="shared" si="9"/>
        <v>0</v>
      </c>
      <c r="L116" s="1476">
        <f t="shared" si="10"/>
        <v>0</v>
      </c>
      <c r="M116" s="1832">
        <f>IF($E$11="Y", IF(E116='6'!E28,0,"{F 06.01, c010} = sum({F 20.07.1, c010, (sNNN)})"),0)</f>
        <v>0</v>
      </c>
      <c r="N116" s="1840">
        <f>IF($E$11="Y", IF(G116='6'!G28,0,"{F 06.01, c012} = sum({F 20.07.1, c012, (sNNN)})"),0)</f>
        <v>0</v>
      </c>
      <c r="O116" s="1840">
        <f>IF($E$11="Y", IF(H116='6'!H28,0,"{F 06.01, c021} = sum({F 20.07.1, c021, (sNNN)})"),0)</f>
        <v>0</v>
      </c>
      <c r="P116" s="1840">
        <f>IF($E$11="Y", IF(F116='6'!F28,0,"{F 06.01, c011} = sum({F 20.07.1, c011, (sNNN)})"),0)</f>
        <v>0</v>
      </c>
      <c r="Q116" s="1840">
        <f>IF($E$11="Y", IF(I116='6'!I28,0,"{F 06.01, c022} = sum({F 20.07.1, c022, (sNNN)})"),0)</f>
        <v>0</v>
      </c>
    </row>
    <row r="117" spans="1:17">
      <c r="A117" s="1156" t="str">
        <f t="shared" si="8"/>
        <v>F-20.07.1_130</v>
      </c>
      <c r="B117" s="807" t="s">
        <v>304</v>
      </c>
      <c r="C117" s="808" t="s">
        <v>250</v>
      </c>
      <c r="D117" s="809" t="s">
        <v>371</v>
      </c>
      <c r="E117" s="938"/>
      <c r="F117" s="938"/>
      <c r="G117" s="938"/>
      <c r="H117" s="1380"/>
      <c r="I117" s="1380"/>
      <c r="J117" s="1476">
        <f>IF($E$117&gt;=0,0,"F20.7,c10&gt;=0")</f>
        <v>0</v>
      </c>
      <c r="K117" s="1476">
        <f t="shared" si="9"/>
        <v>0</v>
      </c>
      <c r="L117" s="1476">
        <f t="shared" si="10"/>
        <v>0</v>
      </c>
      <c r="M117" s="1832">
        <f>IF($E$11="Y", IF(E117='6'!E29,0,"{F 06.01, c010} = sum({F 20.07.1, c010, (sNNN)})"),0)</f>
        <v>0</v>
      </c>
      <c r="N117" s="1840">
        <f>IF($E$11="Y", IF(G117='6'!G29,0,"{F 06.01, c012} = sum({F 20.07.1, c012, (sNNN)})"),0)</f>
        <v>0</v>
      </c>
      <c r="O117" s="1840">
        <f>IF($E$11="Y", IF(H117='6'!H29,0,"{F 06.01, c021} = sum({F 20.07.1, c021, (sNNN)})"),0)</f>
        <v>0</v>
      </c>
      <c r="P117" s="1840">
        <f>IF($E$11="Y", IF(F117='6'!F29,0,"{F 06.01, c011} = sum({F 20.07.1, c011, (sNNN)})"),0)</f>
        <v>0</v>
      </c>
      <c r="Q117" s="1840">
        <f>IF($E$11="Y", IF(I117='6'!I29,0,"{F 06.01, c022} = sum({F 20.07.1, c022, (sNNN)})"),0)</f>
        <v>0</v>
      </c>
    </row>
    <row r="118" spans="1:17">
      <c r="A118" s="1156" t="str">
        <f t="shared" si="8"/>
        <v>F-20.07.1_140</v>
      </c>
      <c r="B118" s="807" t="s">
        <v>305</v>
      </c>
      <c r="C118" s="808" t="s">
        <v>251</v>
      </c>
      <c r="D118" s="809" t="s">
        <v>371</v>
      </c>
      <c r="E118" s="938"/>
      <c r="F118" s="938"/>
      <c r="G118" s="938"/>
      <c r="H118" s="1380"/>
      <c r="I118" s="1380"/>
      <c r="J118" s="1476">
        <f>IF($E$118&gt;=0,0,"F20.7,c10&gt;=0")</f>
        <v>0</v>
      </c>
      <c r="K118" s="1476">
        <f t="shared" si="9"/>
        <v>0</v>
      </c>
      <c r="L118" s="1476">
        <f t="shared" si="10"/>
        <v>0</v>
      </c>
      <c r="M118" s="1832">
        <f>IF($E$11="Y", IF(E118='6'!E30,0,"{F 06.01, c010} = sum({F 20.07.1, c010, (sNNN)})"),0)</f>
        <v>0</v>
      </c>
      <c r="N118" s="1840">
        <f>IF($E$11="Y", IF(G118='6'!G30,0,"{F 06.01, c012} = sum({F 20.07.1, c012, (sNNN)})"),0)</f>
        <v>0</v>
      </c>
      <c r="O118" s="1840">
        <f>IF($E$11="Y", IF(H118='6'!H30,0,"{F 06.01, c021} = sum({F 20.07.1, c021, (sNNN)})"),0)</f>
        <v>0</v>
      </c>
      <c r="P118" s="1840">
        <f>IF($E$11="Y", IF(F118='6'!F30,0,"{F 06.01, c011} = sum({F 20.07.1, c011, (sNNN)})"),0)</f>
        <v>0</v>
      </c>
      <c r="Q118" s="1840">
        <f>IF($E$11="Y", IF(I118='6'!I30,0,"{F 06.01, c022} = sum({F 20.07.1, c022, (sNNN)})"),0)</f>
        <v>0</v>
      </c>
    </row>
    <row r="119" spans="1:17">
      <c r="A119" s="1156" t="str">
        <f t="shared" si="8"/>
        <v>F-20.07.1_150</v>
      </c>
      <c r="B119" s="807" t="s">
        <v>306</v>
      </c>
      <c r="C119" s="808" t="s">
        <v>252</v>
      </c>
      <c r="D119" s="809" t="s">
        <v>371</v>
      </c>
      <c r="E119" s="938"/>
      <c r="F119" s="938"/>
      <c r="G119" s="938"/>
      <c r="H119" s="1380"/>
      <c r="I119" s="1380"/>
      <c r="J119" s="1476">
        <f>IF($E$119&gt;=0,0,"F20.7,c10&gt;=0")</f>
        <v>0</v>
      </c>
      <c r="K119" s="1476">
        <f t="shared" si="9"/>
        <v>0</v>
      </c>
      <c r="L119" s="1476">
        <f t="shared" si="10"/>
        <v>0</v>
      </c>
      <c r="M119" s="1832">
        <f>IF($E$11="Y", IF(E119='6'!E31,0,"{F 06.01, c010} = sum({F 20.07.1, c010, (sNNN)})"),0)</f>
        <v>0</v>
      </c>
      <c r="N119" s="1840">
        <f>IF($E$11="Y", IF(G119='6'!G31,0,"{F 06.01, c012} = sum({F 20.07.1, c012, (sNNN)})"),0)</f>
        <v>0</v>
      </c>
      <c r="O119" s="1840">
        <f>IF($E$11="Y", IF(H119='6'!H31,0,"{F 06.01, c021} = sum({F 20.07.1, c021, (sNNN)})"),0)</f>
        <v>0</v>
      </c>
      <c r="P119" s="1840">
        <f>IF($E$11="Y", IF(F119='6'!F31,0,"{F 06.01, c011} = sum({F 20.07.1, c011, (sNNN)})"),0)</f>
        <v>0</v>
      </c>
      <c r="Q119" s="1840">
        <f>IF($E$11="Y", IF(I119='6'!I31,0,"{F 06.01, c022} = sum({F 20.07.1, c022, (sNNN)})"),0)</f>
        <v>0</v>
      </c>
    </row>
    <row r="120" spans="1:17">
      <c r="A120" s="1156" t="str">
        <f t="shared" si="8"/>
        <v>F-20.07.1_160</v>
      </c>
      <c r="B120" s="807" t="s">
        <v>307</v>
      </c>
      <c r="C120" s="808" t="s">
        <v>253</v>
      </c>
      <c r="D120" s="809" t="s">
        <v>371</v>
      </c>
      <c r="E120" s="938"/>
      <c r="F120" s="938"/>
      <c r="G120" s="938"/>
      <c r="H120" s="1380"/>
      <c r="I120" s="1380"/>
      <c r="J120" s="1476">
        <f>IF($E$120&gt;=0,0,"F20.7,c10&gt;=0")</f>
        <v>0</v>
      </c>
      <c r="K120" s="1476">
        <f t="shared" si="9"/>
        <v>0</v>
      </c>
      <c r="L120" s="1476">
        <f t="shared" si="10"/>
        <v>0</v>
      </c>
      <c r="M120" s="1832">
        <f>IF($E$11="Y", IF(E120='6'!E32,0,"{F 06.01, c010} = sum({F 20.07.1, c010, (sNNN)})"),0)</f>
        <v>0</v>
      </c>
      <c r="N120" s="1840">
        <f>IF($E$11="Y", IF(G120='6'!G32,0,"{F 06.01, c012} = sum({F 20.07.1, c012, (sNNN)})"),0)</f>
        <v>0</v>
      </c>
      <c r="O120" s="1840">
        <f>IF($E$11="Y", IF(H120='6'!H32,0,"{F 06.01, c021} = sum({F 20.07.1, c021, (sNNN)})"),0)</f>
        <v>0</v>
      </c>
      <c r="P120" s="1840">
        <f>IF($E$11="Y", IF(F120='6'!F32,0,"{F 06.01, c011} = sum({F 20.07.1, c011, (sNNN)})"),0)</f>
        <v>0</v>
      </c>
      <c r="Q120" s="1840">
        <f>IF($E$11="Y", IF(I120='6'!I32,0,"{F 06.01, c022} = sum({F 20.07.1, c022, (sNNN)})"),0)</f>
        <v>0</v>
      </c>
    </row>
    <row r="121" spans="1:17">
      <c r="A121" s="1156" t="str">
        <f t="shared" si="8"/>
        <v>F-20.07.1_170</v>
      </c>
      <c r="B121" s="807" t="s">
        <v>308</v>
      </c>
      <c r="C121" s="808" t="s">
        <v>254</v>
      </c>
      <c r="D121" s="809" t="s">
        <v>371</v>
      </c>
      <c r="E121" s="938"/>
      <c r="F121" s="938"/>
      <c r="G121" s="938"/>
      <c r="H121" s="1380"/>
      <c r="I121" s="1380"/>
      <c r="J121" s="1476">
        <f>IF($E$121&gt;=0,0,"F20.7,c10&gt;=0")</f>
        <v>0</v>
      </c>
      <c r="K121" s="1476">
        <f t="shared" si="9"/>
        <v>0</v>
      </c>
      <c r="L121" s="1476">
        <f t="shared" si="10"/>
        <v>0</v>
      </c>
      <c r="M121" s="1832">
        <f>IF($E$11="Y", IF(E121='6'!E33,0,"{F 06.01, c010} = sum({F 20.07.1, c010, (sNNN)})"),0)</f>
        <v>0</v>
      </c>
      <c r="N121" s="1840">
        <f>IF($E$11="Y", IF(G121='6'!G33,0,"{F 06.01, c012} = sum({F 20.07.1, c012, (sNNN)})"),0)</f>
        <v>0</v>
      </c>
      <c r="O121" s="1840">
        <f>IF($E$11="Y", IF(H121='6'!H33,0,"{F 06.01, c021} = sum({F 20.07.1, c021, (sNNN)})"),0)</f>
        <v>0</v>
      </c>
      <c r="P121" s="1840">
        <f>IF($E$11="Y", IF(F121='6'!F33,0,"{F 06.01, c011} = sum({F 20.07.1, c011, (sNNN)})"),0)</f>
        <v>0</v>
      </c>
      <c r="Q121" s="1840">
        <f>IF($E$11="Y", IF(I121='6'!I33,0,"{F 06.01, c022} = sum({F 20.07.1, c022, (sNNN)})"),0)</f>
        <v>0</v>
      </c>
    </row>
    <row r="122" spans="1:17">
      <c r="A122" s="1156" t="str">
        <f t="shared" si="8"/>
        <v>F-20.07.1_180</v>
      </c>
      <c r="B122" s="807" t="s">
        <v>309</v>
      </c>
      <c r="C122" s="808" t="s">
        <v>255</v>
      </c>
      <c r="D122" s="809" t="s">
        <v>371</v>
      </c>
      <c r="E122" s="938"/>
      <c r="F122" s="938"/>
      <c r="G122" s="938"/>
      <c r="H122" s="1783"/>
      <c r="I122" s="1783"/>
      <c r="J122" s="1476">
        <f>IF($E$122&gt;=0,0,"F20.7,c10&gt;=0")</f>
        <v>0</v>
      </c>
      <c r="K122" s="1476">
        <f t="shared" si="9"/>
        <v>0</v>
      </c>
      <c r="L122" s="1476">
        <f t="shared" si="10"/>
        <v>0</v>
      </c>
      <c r="M122" s="1832">
        <f>IF($E$11="Y", IF(E122='6'!E34,0,"{F 06.01, c010} = sum({F 20.07.1, c010, (sNNN)})"),0)</f>
        <v>0</v>
      </c>
      <c r="N122" s="1840">
        <f>IF($E$11="Y", IF(G122='6'!G34,0,"{F 06.01, c012} = sum({F 20.07.1, c012, (sNNN)})"),0)</f>
        <v>0</v>
      </c>
      <c r="O122" s="1840">
        <f>IF($E$11="Y", IF(H122='6'!H34,0,"{F 06.01, c021} = sum({F 20.07.1, c021, (sNNN)})"),0)</f>
        <v>0</v>
      </c>
      <c r="P122" s="1840">
        <f>IF($E$11="Y", IF(F122='6'!F34,0,"{F 06.01, c011} = sum({F 20.07.1, c011, (sNNN)})"),0)</f>
        <v>0</v>
      </c>
      <c r="Q122" s="1840">
        <f>IF($E$11="Y", IF(I122='6'!I34,0,"{F 06.01, c022} = sum({F 20.07.1, c022, (sNNN)})"),0)</f>
        <v>0</v>
      </c>
    </row>
    <row r="123" spans="1:17">
      <c r="A123" s="1156" t="str">
        <f t="shared" si="8"/>
        <v>F-20.07.1_190</v>
      </c>
      <c r="B123" s="810">
        <v>190</v>
      </c>
      <c r="C123" s="811" t="s">
        <v>473</v>
      </c>
      <c r="D123" s="812" t="s">
        <v>1576</v>
      </c>
      <c r="E123" s="857">
        <f>SUM(E$104:E$122)</f>
        <v>0</v>
      </c>
      <c r="F123" s="857">
        <f>SUM(F$104:F$122)</f>
        <v>0</v>
      </c>
      <c r="G123" s="857">
        <f>SUM($G$104:$G$122)</f>
        <v>0</v>
      </c>
      <c r="H123" s="1787">
        <f>SUM($H$104:$H$122)</f>
        <v>0</v>
      </c>
      <c r="I123" s="1787">
        <f>SUM($I$104:$I$122)</f>
        <v>0</v>
      </c>
      <c r="J123" s="1476">
        <f>IF($E$123&gt;=0,0,"F20.7,c10&gt;=0")</f>
        <v>0</v>
      </c>
      <c r="K123" s="1476">
        <f t="shared" si="9"/>
        <v>0</v>
      </c>
      <c r="L123" s="1476">
        <f t="shared" si="10"/>
        <v>0</v>
      </c>
      <c r="M123" s="1832">
        <f>IF($E$11="Y", IF(E123='6'!E35,0,"{F 06.01, c010} = sum({F 20.07.1, c010, (sNNN)})"),0)</f>
        <v>0</v>
      </c>
      <c r="N123" s="1840">
        <f>IF($E$11="Y", IF(G123='6'!G35,0,"{F 06.01, c012} = sum({F 20.07.1, c012, (sNNN)})"),0)</f>
        <v>0</v>
      </c>
      <c r="O123" s="1840">
        <f>IF($E$11="Y", IF(H123='6'!H35,0,"{F 06.01, c021} = sum({F 20.07.1, c021, (sNNN)})"),0)</f>
        <v>0</v>
      </c>
      <c r="P123" s="1840">
        <f>IF($E$11="Y", IF(F123='6'!F35,0,"{F 06.01, c011} = sum({F 20.07.1, c011, (sNNN)})"),0)</f>
        <v>0</v>
      </c>
      <c r="Q123" s="1840">
        <f>IF($E$11="Y", IF(I123='6'!I35,0,"{F 06.01, c022} = sum({F 20.07.1, c022, (sNNN)})"),0)</f>
        <v>0</v>
      </c>
    </row>
    <row r="124" spans="1:17" ht="56.25" customHeight="1">
      <c r="A124" s="1100" t="s">
        <v>718</v>
      </c>
      <c r="C124" s="793"/>
      <c r="F124" s="1765">
        <f>IF(F123=G35,0,"{F 20.04, r190, c012, sNNN}=={F 20.07.1, r190, c011, sNNN}")</f>
        <v>0</v>
      </c>
      <c r="G124" s="1765">
        <f>IF(G123=I35,0,"{F 20.04, r190, c025, sNNN}=={F 20.07.1, r190, c012, sNNN}")</f>
        <v>0</v>
      </c>
      <c r="H124" s="1765">
        <f>IF(H123=J35,0,"{F 20.04, r190, c031, sNNN}=={F 20.07.1, r190, c021, sNNN}")</f>
        <v>0</v>
      </c>
      <c r="I124" s="1765">
        <f>IF(I123=K35,0,"{F 20.04, r190, c040, sNNN}=={F 20.07.1, r190, c022, sNNN}")</f>
        <v>0</v>
      </c>
      <c r="L124" s="1476"/>
    </row>
    <row r="125" spans="1:17">
      <c r="A125" s="1156" t="s">
        <v>724</v>
      </c>
      <c r="L125" s="1476"/>
    </row>
    <row r="129" spans="1:1">
      <c r="A129" s="1100"/>
    </row>
    <row r="131" spans="1:1">
      <c r="A131" s="1100"/>
    </row>
    <row r="137" spans="1:1">
      <c r="A137" s="1100"/>
    </row>
    <row r="139" spans="1:1">
      <c r="A139" s="1096"/>
    </row>
    <row r="140" spans="1:1">
      <c r="A140" s="1096"/>
    </row>
    <row r="141" spans="1:1">
      <c r="A141" s="1096"/>
    </row>
    <row r="142" spans="1:1">
      <c r="A142" s="1100"/>
    </row>
    <row r="143" spans="1:1">
      <c r="A143" s="1100"/>
    </row>
    <row r="144" spans="1:1">
      <c r="A144" s="1100"/>
    </row>
    <row r="145" spans="1:1">
      <c r="A145" s="1100"/>
    </row>
    <row r="146" spans="1:1">
      <c r="A146" s="1100"/>
    </row>
    <row r="147" spans="1:1">
      <c r="A147" s="1100"/>
    </row>
    <row r="148" spans="1:1">
      <c r="A148" s="1100"/>
    </row>
  </sheetData>
  <sheetProtection password="C2F4" sheet="1" objects="1" scenarios="1"/>
  <mergeCells count="13">
    <mergeCell ref="D72:D74"/>
    <mergeCell ref="D99:D103"/>
    <mergeCell ref="E99:I99"/>
    <mergeCell ref="E100:E101"/>
    <mergeCell ref="H100:H101"/>
    <mergeCell ref="I100:I101"/>
    <mergeCell ref="D13:D16"/>
    <mergeCell ref="E13:E14"/>
    <mergeCell ref="J13:J14"/>
    <mergeCell ref="K13:K14"/>
    <mergeCell ref="D54:D57"/>
    <mergeCell ref="E54:E55"/>
    <mergeCell ref="H54:H55"/>
  </mergeCells>
  <conditionalFormatting sqref="F9">
    <cfRule type="cellIs" dxfId="0" priority="1" stopIfTrue="1" operator="greaterThan">
      <formula>0</formula>
    </cfRule>
  </conditionalFormatting>
  <dataValidations count="4">
    <dataValidation type="whole" allowBlank="1" showInputMessage="1" showErrorMessage="1" error="wrong number format or sign" sqref="E75:E87 E58:E60 F58:H58 G59:H60 H31:I40 H123:I123 F24:K24 H25:I29 E17:E40 F17:G23 F25:G40 E104:G123">
      <formula1>0</formula1>
      <formula2>99999999</formula2>
    </dataValidation>
    <dataValidation type="whole" allowBlank="1" showInputMessage="1" showErrorMessage="1" error="wrong number format or sign" sqref="H30:K30">
      <formula1>-99999999</formula1>
      <formula2>99999999</formula2>
    </dataValidation>
    <dataValidation type="list" allowBlank="1" showInputMessage="1" showErrorMessage="1" sqref="D9">
      <formula1>Codes</formula1>
    </dataValidation>
    <dataValidation type="whole" allowBlank="1" showInputMessage="1" showErrorMessage="1" error="Wrong number format or sign" sqref="H104:I122 J31:K40 J25:K29">
      <formula1>-99999999</formula1>
      <formula2>0</formula2>
    </dataValidation>
  </dataValidations>
  <printOptions horizontalCentered="1" headings="1" gridLines="1"/>
  <pageMargins left="0.19685039370078741" right="0.19685039370078741" top="0.23622047244094491" bottom="0.23622047244094491" header="0.15748031496062992" footer="0.15748031496062992"/>
  <pageSetup paperSize="9" scale="50" fitToHeight="2" orientation="landscape" cellComments="asDisplayed" r:id="rId1"/>
  <headerFooter scaleWithDoc="0" alignWithMargins="0"/>
  <rowBreaks count="1" manualBreakCount="1">
    <brk id="68" max="1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B2:C253"/>
  <sheetViews>
    <sheetView workbookViewId="0"/>
  </sheetViews>
  <sheetFormatPr defaultRowHeight="12.75"/>
  <cols>
    <col min="3" max="3" width="47" bestFit="1" customWidth="1"/>
  </cols>
  <sheetData>
    <row r="2" spans="2:3">
      <c r="B2" s="718" t="s">
        <v>765</v>
      </c>
      <c r="C2" s="718" t="s">
        <v>431</v>
      </c>
    </row>
    <row r="3" spans="2:3" ht="15">
      <c r="B3" s="1163" t="s">
        <v>2205</v>
      </c>
      <c r="C3" s="1161" t="s">
        <v>2206</v>
      </c>
    </row>
    <row r="4" spans="2:3" ht="15">
      <c r="B4" s="1163" t="s">
        <v>1224</v>
      </c>
      <c r="C4" s="1161" t="s">
        <v>1225</v>
      </c>
    </row>
    <row r="5" spans="2:3" ht="15">
      <c r="B5" s="1163" t="s">
        <v>766</v>
      </c>
      <c r="C5" s="1162" t="s">
        <v>767</v>
      </c>
    </row>
    <row r="6" spans="2:3" ht="15">
      <c r="B6" s="1163" t="s">
        <v>768</v>
      </c>
      <c r="C6" s="1162" t="s">
        <v>769</v>
      </c>
    </row>
    <row r="7" spans="2:3" ht="15">
      <c r="B7" s="1163" t="s">
        <v>770</v>
      </c>
      <c r="C7" s="1162" t="s">
        <v>752</v>
      </c>
    </row>
    <row r="8" spans="2:3" ht="15">
      <c r="B8" s="1163" t="s">
        <v>771</v>
      </c>
      <c r="C8" s="1162" t="s">
        <v>772</v>
      </c>
    </row>
    <row r="9" spans="2:3" ht="15">
      <c r="B9" s="1163" t="s">
        <v>773</v>
      </c>
      <c r="C9" s="1162" t="s">
        <v>774</v>
      </c>
    </row>
    <row r="10" spans="2:3" ht="15">
      <c r="B10" s="1163" t="s">
        <v>775</v>
      </c>
      <c r="C10" s="1162" t="s">
        <v>776</v>
      </c>
    </row>
    <row r="11" spans="2:3" ht="15">
      <c r="B11" s="1163" t="s">
        <v>777</v>
      </c>
      <c r="C11" s="1162" t="s">
        <v>778</v>
      </c>
    </row>
    <row r="12" spans="2:3" ht="15">
      <c r="B12" s="1163" t="s">
        <v>779</v>
      </c>
      <c r="C12" s="1162" t="s">
        <v>780</v>
      </c>
    </row>
    <row r="13" spans="2:3" ht="15">
      <c r="B13" s="1163" t="s">
        <v>781</v>
      </c>
      <c r="C13" s="1162" t="s">
        <v>782</v>
      </c>
    </row>
    <row r="14" spans="2:3" ht="15">
      <c r="B14" s="1163" t="s">
        <v>783</v>
      </c>
      <c r="C14" s="1162" t="s">
        <v>784</v>
      </c>
    </row>
    <row r="15" spans="2:3" ht="15">
      <c r="B15" s="1163" t="s">
        <v>785</v>
      </c>
      <c r="C15" s="1162" t="s">
        <v>786</v>
      </c>
    </row>
    <row r="16" spans="2:3" ht="15">
      <c r="B16" s="1163" t="s">
        <v>787</v>
      </c>
      <c r="C16" s="1162" t="s">
        <v>788</v>
      </c>
    </row>
    <row r="17" spans="2:3" ht="15">
      <c r="B17" s="1163" t="s">
        <v>789</v>
      </c>
      <c r="C17" s="1162" t="s">
        <v>790</v>
      </c>
    </row>
    <row r="18" spans="2:3" ht="15">
      <c r="B18" s="1163" t="s">
        <v>791</v>
      </c>
      <c r="C18" s="1162" t="s">
        <v>792</v>
      </c>
    </row>
    <row r="19" spans="2:3" ht="15">
      <c r="B19" s="1163" t="s">
        <v>793</v>
      </c>
      <c r="C19" s="1162" t="s">
        <v>725</v>
      </c>
    </row>
    <row r="20" spans="2:3" ht="15">
      <c r="B20" s="1163" t="s">
        <v>794</v>
      </c>
      <c r="C20" s="1162" t="s">
        <v>795</v>
      </c>
    </row>
    <row r="21" spans="2:3" ht="15">
      <c r="B21" s="1163" t="s">
        <v>796</v>
      </c>
      <c r="C21" s="1162" t="s">
        <v>797</v>
      </c>
    </row>
    <row r="22" spans="2:3" ht="15">
      <c r="B22" s="1163" t="s">
        <v>798</v>
      </c>
      <c r="C22" s="1162" t="s">
        <v>799</v>
      </c>
    </row>
    <row r="23" spans="2:3" ht="15">
      <c r="B23" s="1163" t="s">
        <v>800</v>
      </c>
      <c r="C23" s="1162" t="s">
        <v>801</v>
      </c>
    </row>
    <row r="24" spans="2:3" ht="15">
      <c r="B24" s="1163" t="s">
        <v>802</v>
      </c>
      <c r="C24" s="1162" t="s">
        <v>803</v>
      </c>
    </row>
    <row r="25" spans="2:3" ht="15">
      <c r="B25" s="1163" t="s">
        <v>804</v>
      </c>
      <c r="C25" s="1162" t="s">
        <v>805</v>
      </c>
    </row>
    <row r="26" spans="2:3" ht="15">
      <c r="B26" s="1163" t="s">
        <v>806</v>
      </c>
      <c r="C26" s="1162" t="s">
        <v>726</v>
      </c>
    </row>
    <row r="27" spans="2:3" ht="15">
      <c r="B27" s="1163" t="s">
        <v>807</v>
      </c>
      <c r="C27" s="1162" t="s">
        <v>808</v>
      </c>
    </row>
    <row r="28" spans="2:3" ht="15">
      <c r="B28" s="1163" t="s">
        <v>809</v>
      </c>
      <c r="C28" s="1162" t="s">
        <v>810</v>
      </c>
    </row>
    <row r="29" spans="2:3" ht="15">
      <c r="B29" s="1163" t="s">
        <v>811</v>
      </c>
      <c r="C29" s="1162" t="s">
        <v>812</v>
      </c>
    </row>
    <row r="30" spans="2:3" ht="15">
      <c r="B30" s="1163" t="s">
        <v>813</v>
      </c>
      <c r="C30" s="1162" t="s">
        <v>814</v>
      </c>
    </row>
    <row r="31" spans="2:3" ht="15">
      <c r="B31" s="1163" t="s">
        <v>815</v>
      </c>
      <c r="C31" s="1162" t="s">
        <v>816</v>
      </c>
    </row>
    <row r="32" spans="2:3" ht="15">
      <c r="B32" s="1163" t="s">
        <v>817</v>
      </c>
      <c r="C32" s="1162" t="s">
        <v>818</v>
      </c>
    </row>
    <row r="33" spans="2:3" ht="15">
      <c r="B33" s="1163" t="s">
        <v>819</v>
      </c>
      <c r="C33" s="1162" t="s">
        <v>820</v>
      </c>
    </row>
    <row r="34" spans="2:3" ht="15">
      <c r="B34" s="1163" t="s">
        <v>821</v>
      </c>
      <c r="C34" s="1162" t="s">
        <v>822</v>
      </c>
    </row>
    <row r="35" spans="2:3" ht="15">
      <c r="B35" s="1163" t="s">
        <v>823</v>
      </c>
      <c r="C35" s="1162" t="s">
        <v>824</v>
      </c>
    </row>
    <row r="36" spans="2:3" ht="15">
      <c r="B36" s="1163" t="s">
        <v>825</v>
      </c>
      <c r="C36" s="1162" t="s">
        <v>826</v>
      </c>
    </row>
    <row r="37" spans="2:3" ht="15">
      <c r="B37" s="1163" t="s">
        <v>827</v>
      </c>
      <c r="C37" s="1162" t="s">
        <v>828</v>
      </c>
    </row>
    <row r="38" spans="2:3" ht="15">
      <c r="B38" s="1163" t="s">
        <v>829</v>
      </c>
      <c r="C38" s="1162" t="s">
        <v>830</v>
      </c>
    </row>
    <row r="39" spans="2:3" ht="15">
      <c r="B39" s="1163" t="s">
        <v>831</v>
      </c>
      <c r="C39" s="1162" t="s">
        <v>727</v>
      </c>
    </row>
    <row r="40" spans="2:3" ht="15">
      <c r="B40" s="1163" t="s">
        <v>832</v>
      </c>
      <c r="C40" s="1162" t="s">
        <v>833</v>
      </c>
    </row>
    <row r="41" spans="2:3" ht="15">
      <c r="B41" s="1163" t="s">
        <v>834</v>
      </c>
      <c r="C41" s="1162" t="s">
        <v>835</v>
      </c>
    </row>
    <row r="42" spans="2:3" ht="15">
      <c r="B42" s="1163" t="s">
        <v>836</v>
      </c>
      <c r="C42" s="1162" t="s">
        <v>837</v>
      </c>
    </row>
    <row r="43" spans="2:3" ht="15">
      <c r="B43" s="1163" t="s">
        <v>838</v>
      </c>
      <c r="C43" s="1162" t="s">
        <v>839</v>
      </c>
    </row>
    <row r="44" spans="2:3" ht="15">
      <c r="B44" s="1163" t="s">
        <v>840</v>
      </c>
      <c r="C44" s="1162" t="s">
        <v>841</v>
      </c>
    </row>
    <row r="45" spans="2:3" ht="15">
      <c r="B45" s="1163" t="s">
        <v>842</v>
      </c>
      <c r="C45" s="1162" t="s">
        <v>843</v>
      </c>
    </row>
    <row r="46" spans="2:3" ht="15">
      <c r="B46" s="1163" t="s">
        <v>844</v>
      </c>
      <c r="C46" s="1162" t="s">
        <v>845</v>
      </c>
    </row>
    <row r="47" spans="2:3" ht="15">
      <c r="B47" s="1163" t="s">
        <v>846</v>
      </c>
      <c r="C47" s="1162" t="s">
        <v>847</v>
      </c>
    </row>
    <row r="48" spans="2:3" ht="15">
      <c r="B48" s="1163" t="s">
        <v>848</v>
      </c>
      <c r="C48" s="1162" t="s">
        <v>849</v>
      </c>
    </row>
    <row r="49" spans="2:3" ht="15">
      <c r="B49" s="1163" t="s">
        <v>850</v>
      </c>
      <c r="C49" s="1162" t="s">
        <v>851</v>
      </c>
    </row>
    <row r="50" spans="2:3" ht="15">
      <c r="B50" s="1163" t="s">
        <v>852</v>
      </c>
      <c r="C50" s="1162" t="s">
        <v>853</v>
      </c>
    </row>
    <row r="51" spans="2:3" ht="15">
      <c r="B51" s="1163" t="s">
        <v>854</v>
      </c>
      <c r="C51" s="1162" t="s">
        <v>855</v>
      </c>
    </row>
    <row r="52" spans="2:3" ht="15">
      <c r="B52" s="1163" t="s">
        <v>856</v>
      </c>
      <c r="C52" s="1162" t="s">
        <v>857</v>
      </c>
    </row>
    <row r="53" spans="2:3" ht="15">
      <c r="B53" s="1163" t="s">
        <v>858</v>
      </c>
      <c r="C53" s="1162" t="s">
        <v>859</v>
      </c>
    </row>
    <row r="54" spans="2:3" ht="15">
      <c r="B54" s="1163" t="s">
        <v>860</v>
      </c>
      <c r="C54" s="1162" t="s">
        <v>861</v>
      </c>
    </row>
    <row r="55" spans="2:3" ht="15">
      <c r="B55" s="1163" t="s">
        <v>862</v>
      </c>
      <c r="C55" s="1162" t="s">
        <v>863</v>
      </c>
    </row>
    <row r="56" spans="2:3" ht="15">
      <c r="B56" s="1163" t="s">
        <v>864</v>
      </c>
      <c r="C56" s="1162" t="s">
        <v>865</v>
      </c>
    </row>
    <row r="57" spans="2:3" ht="15">
      <c r="B57" s="1163" t="s">
        <v>866</v>
      </c>
      <c r="C57" s="1162" t="s">
        <v>867</v>
      </c>
    </row>
    <row r="58" spans="2:3" ht="15">
      <c r="B58" s="1163" t="s">
        <v>868</v>
      </c>
      <c r="C58" s="1162" t="s">
        <v>869</v>
      </c>
    </row>
    <row r="59" spans="2:3" ht="15">
      <c r="B59" s="1163" t="s">
        <v>870</v>
      </c>
      <c r="C59" s="1162" t="s">
        <v>871</v>
      </c>
    </row>
    <row r="60" spans="2:3" ht="15">
      <c r="B60" s="1163" t="s">
        <v>872</v>
      </c>
      <c r="C60" s="1162" t="s">
        <v>873</v>
      </c>
    </row>
    <row r="61" spans="2:3" ht="15">
      <c r="B61" s="1163" t="s">
        <v>874</v>
      </c>
      <c r="C61" s="1162" t="s">
        <v>875</v>
      </c>
    </row>
    <row r="62" spans="2:3" ht="15">
      <c r="B62" s="1163" t="s">
        <v>876</v>
      </c>
      <c r="C62" s="1162" t="s">
        <v>877</v>
      </c>
    </row>
    <row r="63" spans="2:3" ht="15">
      <c r="B63" s="1163" t="s">
        <v>878</v>
      </c>
      <c r="C63" s="1162" t="s">
        <v>728</v>
      </c>
    </row>
    <row r="64" spans="2:3" ht="15">
      <c r="B64" s="1163" t="s">
        <v>879</v>
      </c>
      <c r="C64" s="1162" t="s">
        <v>729</v>
      </c>
    </row>
    <row r="65" spans="2:3" ht="15">
      <c r="B65" s="1163" t="s">
        <v>880</v>
      </c>
      <c r="C65" s="1162" t="s">
        <v>730</v>
      </c>
    </row>
    <row r="66" spans="2:3" ht="15">
      <c r="B66" s="1163" t="s">
        <v>881</v>
      </c>
      <c r="C66" s="1162" t="s">
        <v>882</v>
      </c>
    </row>
    <row r="67" spans="2:3" ht="15">
      <c r="B67" s="1163" t="s">
        <v>883</v>
      </c>
      <c r="C67" s="1162" t="s">
        <v>884</v>
      </c>
    </row>
    <row r="68" spans="2:3" ht="15">
      <c r="B68" s="1163" t="s">
        <v>885</v>
      </c>
      <c r="C68" s="1162" t="s">
        <v>886</v>
      </c>
    </row>
    <row r="69" spans="2:3" ht="15">
      <c r="B69" s="1163" t="s">
        <v>887</v>
      </c>
      <c r="C69" s="1162" t="s">
        <v>888</v>
      </c>
    </row>
    <row r="70" spans="2:3" ht="15">
      <c r="B70" s="1163" t="s">
        <v>889</v>
      </c>
      <c r="C70" s="1162" t="s">
        <v>762</v>
      </c>
    </row>
    <row r="71" spans="2:3" ht="15">
      <c r="B71" s="1163" t="s">
        <v>890</v>
      </c>
      <c r="C71" s="1162" t="s">
        <v>891</v>
      </c>
    </row>
    <row r="72" spans="2:3" ht="15">
      <c r="B72" s="1163" t="s">
        <v>892</v>
      </c>
      <c r="C72" s="1162" t="s">
        <v>893</v>
      </c>
    </row>
    <row r="73" spans="2:3" ht="15">
      <c r="B73" s="1163" t="s">
        <v>894</v>
      </c>
      <c r="C73" s="1162" t="s">
        <v>895</v>
      </c>
    </row>
    <row r="74" spans="2:3" ht="15">
      <c r="B74" s="1163" t="s">
        <v>896</v>
      </c>
      <c r="C74" s="1162" t="s">
        <v>731</v>
      </c>
    </row>
    <row r="75" spans="2:3" ht="15">
      <c r="B75" s="1163" t="s">
        <v>897</v>
      </c>
      <c r="C75" s="1162" t="s">
        <v>898</v>
      </c>
    </row>
    <row r="76" spans="2:3" ht="15">
      <c r="B76" s="1163" t="s">
        <v>899</v>
      </c>
      <c r="C76" s="1162" t="s">
        <v>900</v>
      </c>
    </row>
    <row r="77" spans="2:3" ht="15">
      <c r="B77" s="1163" t="s">
        <v>901</v>
      </c>
      <c r="C77" s="1162" t="s">
        <v>902</v>
      </c>
    </row>
    <row r="78" spans="2:3" ht="15">
      <c r="B78" s="1163" t="s">
        <v>903</v>
      </c>
      <c r="C78" s="1162" t="s">
        <v>904</v>
      </c>
    </row>
    <row r="79" spans="2:3" ht="15">
      <c r="B79" s="1163" t="s">
        <v>905</v>
      </c>
      <c r="C79" s="1162" t="s">
        <v>732</v>
      </c>
    </row>
    <row r="80" spans="2:3" ht="15">
      <c r="B80" s="1163" t="s">
        <v>906</v>
      </c>
      <c r="C80" s="1162" t="s">
        <v>733</v>
      </c>
    </row>
    <row r="81" spans="2:3" ht="15">
      <c r="B81" s="1163" t="s">
        <v>907</v>
      </c>
      <c r="C81" s="1162" t="s">
        <v>908</v>
      </c>
    </row>
    <row r="82" spans="2:3" ht="15">
      <c r="B82" s="1163" t="s">
        <v>909</v>
      </c>
      <c r="C82" s="1162" t="s">
        <v>910</v>
      </c>
    </row>
    <row r="83" spans="2:3" ht="15">
      <c r="B83" s="1163" t="s">
        <v>911</v>
      </c>
      <c r="C83" s="1162" t="s">
        <v>912</v>
      </c>
    </row>
    <row r="84" spans="2:3" ht="15">
      <c r="B84" s="1163" t="s">
        <v>913</v>
      </c>
      <c r="C84" s="1162" t="s">
        <v>914</v>
      </c>
    </row>
    <row r="85" spans="2:3" ht="15">
      <c r="B85" s="1163" t="s">
        <v>915</v>
      </c>
      <c r="C85" s="1162" t="s">
        <v>916</v>
      </c>
    </row>
    <row r="86" spans="2:3" ht="15">
      <c r="B86" s="1163" t="s">
        <v>917</v>
      </c>
      <c r="C86" s="1162" t="s">
        <v>918</v>
      </c>
    </row>
    <row r="87" spans="2:3" ht="15">
      <c r="B87" s="1163" t="s">
        <v>919</v>
      </c>
      <c r="C87" s="1162" t="s">
        <v>734</v>
      </c>
    </row>
    <row r="88" spans="2:3" ht="15">
      <c r="B88" s="1163" t="s">
        <v>920</v>
      </c>
      <c r="C88" s="1162" t="s">
        <v>921</v>
      </c>
    </row>
    <row r="89" spans="2:3" ht="15">
      <c r="B89" s="1163" t="s">
        <v>922</v>
      </c>
      <c r="C89" s="1162" t="s">
        <v>923</v>
      </c>
    </row>
    <row r="90" spans="2:3" ht="15">
      <c r="B90" s="1163" t="s">
        <v>924</v>
      </c>
      <c r="C90" s="1162" t="s">
        <v>735</v>
      </c>
    </row>
    <row r="91" spans="2:3" ht="15">
      <c r="B91" s="1163" t="s">
        <v>925</v>
      </c>
      <c r="C91" s="1162" t="s">
        <v>926</v>
      </c>
    </row>
    <row r="92" spans="2:3" ht="15">
      <c r="B92" s="1163" t="s">
        <v>927</v>
      </c>
      <c r="C92" s="1162" t="s">
        <v>928</v>
      </c>
    </row>
    <row r="93" spans="2:3" ht="15">
      <c r="B93" s="1163" t="s">
        <v>929</v>
      </c>
      <c r="C93" s="1162" t="s">
        <v>930</v>
      </c>
    </row>
    <row r="94" spans="2:3" ht="15">
      <c r="B94" s="1163" t="s">
        <v>931</v>
      </c>
      <c r="C94" s="1162" t="s">
        <v>932</v>
      </c>
    </row>
    <row r="95" spans="2:3" ht="15">
      <c r="B95" s="1163" t="s">
        <v>933</v>
      </c>
      <c r="C95" s="1162" t="s">
        <v>934</v>
      </c>
    </row>
    <row r="96" spans="2:3" ht="15">
      <c r="B96" s="1163" t="s">
        <v>935</v>
      </c>
      <c r="C96" s="1162" t="s">
        <v>936</v>
      </c>
    </row>
    <row r="97" spans="2:3" ht="15">
      <c r="B97" s="1163" t="s">
        <v>937</v>
      </c>
      <c r="C97" s="1162" t="s">
        <v>938</v>
      </c>
    </row>
    <row r="98" spans="2:3" ht="15">
      <c r="B98" s="1163" t="s">
        <v>939</v>
      </c>
      <c r="C98" s="1162" t="s">
        <v>940</v>
      </c>
    </row>
    <row r="99" spans="2:3" ht="15">
      <c r="B99" s="1163" t="s">
        <v>941</v>
      </c>
      <c r="C99" s="1162" t="s">
        <v>942</v>
      </c>
    </row>
    <row r="100" spans="2:3" ht="15">
      <c r="B100" s="1163" t="s">
        <v>943</v>
      </c>
      <c r="C100" s="1162" t="s">
        <v>944</v>
      </c>
    </row>
    <row r="101" spans="2:3" ht="15">
      <c r="B101" s="1163" t="s">
        <v>945</v>
      </c>
      <c r="C101" s="1162" t="s">
        <v>946</v>
      </c>
    </row>
    <row r="102" spans="2:3" ht="15">
      <c r="B102" s="1163" t="s">
        <v>947</v>
      </c>
      <c r="C102" s="1162" t="s">
        <v>948</v>
      </c>
    </row>
    <row r="103" spans="2:3" ht="15">
      <c r="B103" s="1163" t="s">
        <v>949</v>
      </c>
      <c r="C103" s="1162" t="s">
        <v>950</v>
      </c>
    </row>
    <row r="104" spans="2:3" ht="15">
      <c r="B104" s="1163" t="s">
        <v>951</v>
      </c>
      <c r="C104" s="1162" t="s">
        <v>952</v>
      </c>
    </row>
    <row r="105" spans="2:3" ht="15">
      <c r="B105" s="1163" t="s">
        <v>953</v>
      </c>
      <c r="C105" s="1162" t="s">
        <v>736</v>
      </c>
    </row>
    <row r="106" spans="2:3" ht="15">
      <c r="B106" s="1163" t="s">
        <v>954</v>
      </c>
      <c r="C106" s="1162" t="s">
        <v>763</v>
      </c>
    </row>
    <row r="107" spans="2:3" ht="15">
      <c r="B107" s="1163" t="s">
        <v>955</v>
      </c>
      <c r="C107" s="1162" t="s">
        <v>956</v>
      </c>
    </row>
    <row r="108" spans="2:3" ht="15">
      <c r="B108" s="1163" t="s">
        <v>957</v>
      </c>
      <c r="C108" s="1162" t="s">
        <v>958</v>
      </c>
    </row>
    <row r="109" spans="2:3" ht="15">
      <c r="B109" s="1163" t="s">
        <v>959</v>
      </c>
      <c r="C109" s="1162" t="s">
        <v>960</v>
      </c>
    </row>
    <row r="110" spans="2:3" ht="15">
      <c r="B110" s="1163" t="s">
        <v>961</v>
      </c>
      <c r="C110" s="1162" t="s">
        <v>962</v>
      </c>
    </row>
    <row r="111" spans="2:3" ht="15">
      <c r="B111" s="1163" t="s">
        <v>963</v>
      </c>
      <c r="C111" s="1162" t="s">
        <v>737</v>
      </c>
    </row>
    <row r="112" spans="2:3" ht="15">
      <c r="B112" s="1163" t="s">
        <v>964</v>
      </c>
      <c r="C112" s="1162" t="s">
        <v>965</v>
      </c>
    </row>
    <row r="113" spans="2:3" ht="15">
      <c r="B113" s="1163" t="s">
        <v>966</v>
      </c>
      <c r="C113" s="1162" t="s">
        <v>967</v>
      </c>
    </row>
    <row r="114" spans="2:3" ht="15">
      <c r="B114" s="1163" t="s">
        <v>968</v>
      </c>
      <c r="C114" s="1162" t="s">
        <v>738</v>
      </c>
    </row>
    <row r="115" spans="2:3" ht="15">
      <c r="B115" s="1163" t="s">
        <v>969</v>
      </c>
      <c r="C115" s="1162" t="s">
        <v>970</v>
      </c>
    </row>
    <row r="116" spans="2:3" ht="15">
      <c r="B116" s="1163" t="s">
        <v>971</v>
      </c>
      <c r="C116" s="1162" t="s">
        <v>753</v>
      </c>
    </row>
    <row r="117" spans="2:3" ht="15">
      <c r="B117" s="1163" t="s">
        <v>972</v>
      </c>
      <c r="C117" s="1162" t="s">
        <v>973</v>
      </c>
    </row>
    <row r="118" spans="2:3" ht="15">
      <c r="B118" s="1163" t="s">
        <v>974</v>
      </c>
      <c r="C118" s="1162" t="s">
        <v>975</v>
      </c>
    </row>
    <row r="119" spans="2:3" ht="15">
      <c r="B119" s="1163" t="s">
        <v>976</v>
      </c>
      <c r="C119" s="1162" t="s">
        <v>977</v>
      </c>
    </row>
    <row r="120" spans="2:3" ht="15">
      <c r="B120" s="1163" t="s">
        <v>978</v>
      </c>
      <c r="C120" s="1162" t="s">
        <v>979</v>
      </c>
    </row>
    <row r="121" spans="2:3" ht="15">
      <c r="B121" s="1163" t="s">
        <v>980</v>
      </c>
      <c r="C121" s="1162" t="s">
        <v>981</v>
      </c>
    </row>
    <row r="122" spans="2:3" ht="15">
      <c r="B122" s="1163" t="s">
        <v>982</v>
      </c>
      <c r="C122" s="1162" t="s">
        <v>983</v>
      </c>
    </row>
    <row r="123" spans="2:3" ht="15">
      <c r="B123" s="1163" t="s">
        <v>984</v>
      </c>
      <c r="C123" s="1162" t="s">
        <v>985</v>
      </c>
    </row>
    <row r="124" spans="2:3" ht="15">
      <c r="B124" s="1163" t="s">
        <v>986</v>
      </c>
      <c r="C124" s="1162" t="s">
        <v>987</v>
      </c>
    </row>
    <row r="125" spans="2:3" ht="15">
      <c r="B125" s="1163" t="s">
        <v>988</v>
      </c>
      <c r="C125" s="1162" t="s">
        <v>989</v>
      </c>
    </row>
    <row r="126" spans="2:3" ht="15">
      <c r="B126" s="1163" t="s">
        <v>990</v>
      </c>
      <c r="C126" s="1162" t="s">
        <v>991</v>
      </c>
    </row>
    <row r="127" spans="2:3" ht="15">
      <c r="B127" s="1163" t="s">
        <v>992</v>
      </c>
      <c r="C127" s="1162" t="s">
        <v>739</v>
      </c>
    </row>
    <row r="128" spans="2:3" ht="15">
      <c r="B128" s="1163" t="s">
        <v>993</v>
      </c>
      <c r="C128" s="1162" t="s">
        <v>994</v>
      </c>
    </row>
    <row r="129" spans="2:3" ht="15">
      <c r="B129" s="1163" t="s">
        <v>995</v>
      </c>
      <c r="C129" s="1162" t="s">
        <v>996</v>
      </c>
    </row>
    <row r="130" spans="2:3" ht="15">
      <c r="B130" s="1163" t="s">
        <v>997</v>
      </c>
      <c r="C130" s="1162" t="s">
        <v>998</v>
      </c>
    </row>
    <row r="131" spans="2:3" ht="15">
      <c r="B131" s="1163" t="s">
        <v>999</v>
      </c>
      <c r="C131" s="1162" t="s">
        <v>1000</v>
      </c>
    </row>
    <row r="132" spans="2:3" ht="15">
      <c r="B132" s="1163" t="s">
        <v>1001</v>
      </c>
      <c r="C132" s="1162" t="s">
        <v>764</v>
      </c>
    </row>
    <row r="133" spans="2:3" ht="15">
      <c r="B133" s="1163" t="s">
        <v>1002</v>
      </c>
      <c r="C133" s="1162" t="s">
        <v>740</v>
      </c>
    </row>
    <row r="134" spans="2:3" ht="15">
      <c r="B134" s="1163" t="s">
        <v>1003</v>
      </c>
      <c r="C134" s="1162" t="s">
        <v>741</v>
      </c>
    </row>
    <row r="135" spans="2:3" ht="15">
      <c r="B135" s="1163" t="s">
        <v>1004</v>
      </c>
      <c r="C135" s="1162" t="s">
        <v>1005</v>
      </c>
    </row>
    <row r="136" spans="2:3" ht="25.5">
      <c r="B136" s="1163" t="s">
        <v>1006</v>
      </c>
      <c r="C136" s="1162" t="s">
        <v>754</v>
      </c>
    </row>
    <row r="137" spans="2:3" ht="15">
      <c r="B137" s="1163" t="s">
        <v>1007</v>
      </c>
      <c r="C137" s="1162" t="s">
        <v>1008</v>
      </c>
    </row>
    <row r="138" spans="2:3" ht="15">
      <c r="B138" s="1163" t="s">
        <v>1009</v>
      </c>
      <c r="C138" s="1162" t="s">
        <v>1010</v>
      </c>
    </row>
    <row r="139" spans="2:3" ht="15">
      <c r="B139" s="1163" t="s">
        <v>1011</v>
      </c>
      <c r="C139" s="1162" t="s">
        <v>1012</v>
      </c>
    </row>
    <row r="140" spans="2:3" ht="15">
      <c r="B140" s="1163" t="s">
        <v>1013</v>
      </c>
      <c r="C140" s="1162" t="s">
        <v>1014</v>
      </c>
    </row>
    <row r="141" spans="2:3" ht="15">
      <c r="B141" s="1163" t="s">
        <v>1015</v>
      </c>
      <c r="C141" s="1162" t="s">
        <v>1016</v>
      </c>
    </row>
    <row r="142" spans="2:3" ht="15">
      <c r="B142" s="1163" t="s">
        <v>1017</v>
      </c>
      <c r="C142" s="1162" t="s">
        <v>742</v>
      </c>
    </row>
    <row r="143" spans="2:3" ht="15">
      <c r="B143" s="1163" t="s">
        <v>1018</v>
      </c>
      <c r="C143" s="1162" t="s">
        <v>1019</v>
      </c>
    </row>
    <row r="144" spans="2:3" ht="15">
      <c r="B144" s="1163" t="s">
        <v>1020</v>
      </c>
      <c r="C144" s="1162" t="s">
        <v>1021</v>
      </c>
    </row>
    <row r="145" spans="2:3" ht="15">
      <c r="B145" s="1163" t="s">
        <v>1022</v>
      </c>
      <c r="C145" s="1162" t="s">
        <v>1023</v>
      </c>
    </row>
    <row r="146" spans="2:3" ht="15">
      <c r="B146" s="1163" t="s">
        <v>1024</v>
      </c>
      <c r="C146" s="1162" t="s">
        <v>1025</v>
      </c>
    </row>
    <row r="147" spans="2:3" ht="15">
      <c r="B147" s="1163" t="s">
        <v>1026</v>
      </c>
      <c r="C147" s="1162" t="s">
        <v>1027</v>
      </c>
    </row>
    <row r="148" spans="2:3" ht="15">
      <c r="B148" s="1163" t="s">
        <v>1028</v>
      </c>
      <c r="C148" s="1162" t="s">
        <v>1029</v>
      </c>
    </row>
    <row r="149" spans="2:3" ht="15">
      <c r="B149" s="1163" t="s">
        <v>1030</v>
      </c>
      <c r="C149" s="1162" t="s">
        <v>1031</v>
      </c>
    </row>
    <row r="150" spans="2:3" ht="15">
      <c r="B150" s="1163" t="s">
        <v>1032</v>
      </c>
      <c r="C150" s="1162" t="s">
        <v>1033</v>
      </c>
    </row>
    <row r="151" spans="2:3" ht="15">
      <c r="B151" s="1163" t="s">
        <v>1034</v>
      </c>
      <c r="C151" s="1162" t="s">
        <v>1035</v>
      </c>
    </row>
    <row r="152" spans="2:3" ht="15">
      <c r="B152" s="1163" t="s">
        <v>1036</v>
      </c>
      <c r="C152" s="1162" t="s">
        <v>1037</v>
      </c>
    </row>
    <row r="153" spans="2:3" ht="15">
      <c r="B153" s="1163" t="s">
        <v>1038</v>
      </c>
      <c r="C153" s="1162" t="s">
        <v>1039</v>
      </c>
    </row>
    <row r="154" spans="2:3" ht="15">
      <c r="B154" s="1163" t="s">
        <v>1040</v>
      </c>
      <c r="C154" s="1162" t="s">
        <v>1041</v>
      </c>
    </row>
    <row r="155" spans="2:3" ht="15">
      <c r="B155" s="1163" t="s">
        <v>1042</v>
      </c>
      <c r="C155" s="1162" t="s">
        <v>1043</v>
      </c>
    </row>
    <row r="156" spans="2:3" ht="15">
      <c r="B156" s="1163" t="s">
        <v>1044</v>
      </c>
      <c r="C156" s="1162" t="s">
        <v>1045</v>
      </c>
    </row>
    <row r="157" spans="2:3" ht="15">
      <c r="B157" s="1163" t="s">
        <v>1046</v>
      </c>
      <c r="C157" s="1162" t="s">
        <v>1047</v>
      </c>
    </row>
    <row r="158" spans="2:3" ht="15">
      <c r="B158" s="1163" t="s">
        <v>1048</v>
      </c>
      <c r="C158" s="1162" t="s">
        <v>1049</v>
      </c>
    </row>
    <row r="159" spans="2:3" ht="15">
      <c r="B159" s="1163" t="s">
        <v>1050</v>
      </c>
      <c r="C159" s="1162" t="s">
        <v>1051</v>
      </c>
    </row>
    <row r="160" spans="2:3" ht="15">
      <c r="B160" s="1163" t="s">
        <v>1052</v>
      </c>
      <c r="C160" s="1162" t="s">
        <v>1053</v>
      </c>
    </row>
    <row r="161" spans="2:3" ht="15">
      <c r="B161" s="1163" t="s">
        <v>1054</v>
      </c>
      <c r="C161" s="1162" t="s">
        <v>743</v>
      </c>
    </row>
    <row r="162" spans="2:3" ht="15">
      <c r="B162" s="1163" t="s">
        <v>1055</v>
      </c>
      <c r="C162" s="1162" t="s">
        <v>1056</v>
      </c>
    </row>
    <row r="163" spans="2:3" ht="15">
      <c r="B163" s="1163" t="s">
        <v>1057</v>
      </c>
      <c r="C163" s="1162" t="s">
        <v>1058</v>
      </c>
    </row>
    <row r="164" spans="2:3" ht="15">
      <c r="B164" s="1163" t="s">
        <v>1059</v>
      </c>
      <c r="C164" s="1162" t="s">
        <v>1060</v>
      </c>
    </row>
    <row r="165" spans="2:3" ht="15">
      <c r="B165" s="1163" t="s">
        <v>1061</v>
      </c>
      <c r="C165" s="1162" t="s">
        <v>1062</v>
      </c>
    </row>
    <row r="166" spans="2:3" ht="15">
      <c r="B166" s="1163" t="s">
        <v>1063</v>
      </c>
      <c r="C166" s="1162" t="s">
        <v>1064</v>
      </c>
    </row>
    <row r="167" spans="2:3" ht="15">
      <c r="B167" s="1163" t="s">
        <v>1065</v>
      </c>
      <c r="C167" s="1162" t="s">
        <v>1066</v>
      </c>
    </row>
    <row r="168" spans="2:3" ht="15">
      <c r="B168" s="1163" t="s">
        <v>1067</v>
      </c>
      <c r="C168" s="1162" t="s">
        <v>1068</v>
      </c>
    </row>
    <row r="169" spans="2:3" ht="15">
      <c r="B169" s="1163" t="s">
        <v>1069</v>
      </c>
      <c r="C169" s="1162" t="s">
        <v>1070</v>
      </c>
    </row>
    <row r="170" spans="2:3" ht="15">
      <c r="B170" s="1163" t="s">
        <v>1071</v>
      </c>
      <c r="C170" s="1162" t="s">
        <v>761</v>
      </c>
    </row>
    <row r="171" spans="2:3" ht="15">
      <c r="B171" s="1163" t="s">
        <v>1072</v>
      </c>
      <c r="C171" s="1162" t="s">
        <v>1073</v>
      </c>
    </row>
    <row r="172" spans="2:3" ht="15">
      <c r="B172" s="1163" t="s">
        <v>1074</v>
      </c>
      <c r="C172" s="1162" t="s">
        <v>1075</v>
      </c>
    </row>
    <row r="173" spans="2:3" ht="15">
      <c r="B173" s="1163" t="s">
        <v>1076</v>
      </c>
      <c r="C173" s="1162" t="s">
        <v>1077</v>
      </c>
    </row>
    <row r="174" spans="2:3" ht="15">
      <c r="B174" s="1163" t="s">
        <v>1078</v>
      </c>
      <c r="C174" s="1162" t="s">
        <v>1079</v>
      </c>
    </row>
    <row r="175" spans="2:3" ht="15">
      <c r="B175" s="1163" t="s">
        <v>1080</v>
      </c>
      <c r="C175" s="1162" t="s">
        <v>1081</v>
      </c>
    </row>
    <row r="176" spans="2:3" ht="15">
      <c r="B176" s="1163" t="s">
        <v>1082</v>
      </c>
      <c r="C176" s="1162" t="s">
        <v>1083</v>
      </c>
    </row>
    <row r="177" spans="2:3" ht="15">
      <c r="B177" s="1163" t="s">
        <v>1084</v>
      </c>
      <c r="C177" s="1162" t="s">
        <v>1085</v>
      </c>
    </row>
    <row r="178" spans="2:3" ht="15">
      <c r="B178" s="1163" t="s">
        <v>1086</v>
      </c>
      <c r="C178" s="1162" t="s">
        <v>1087</v>
      </c>
    </row>
    <row r="179" spans="2:3" ht="15">
      <c r="B179" s="1163" t="s">
        <v>1088</v>
      </c>
      <c r="C179" s="1162" t="s">
        <v>1089</v>
      </c>
    </row>
    <row r="180" spans="2:3" ht="15">
      <c r="B180" s="1163" t="s">
        <v>1090</v>
      </c>
      <c r="C180" s="1162" t="s">
        <v>1091</v>
      </c>
    </row>
    <row r="181" spans="2:3" ht="15">
      <c r="B181" s="1163" t="s">
        <v>1092</v>
      </c>
      <c r="C181" s="1162" t="s">
        <v>744</v>
      </c>
    </row>
    <row r="182" spans="2:3" ht="15">
      <c r="B182" s="1163" t="s">
        <v>1093</v>
      </c>
      <c r="C182" s="1162" t="s">
        <v>745</v>
      </c>
    </row>
    <row r="183" spans="2:3" ht="15">
      <c r="B183" s="1163" t="s">
        <v>1094</v>
      </c>
      <c r="C183" s="1162" t="s">
        <v>1095</v>
      </c>
    </row>
    <row r="184" spans="2:3" ht="15">
      <c r="B184" s="1163" t="s">
        <v>1096</v>
      </c>
      <c r="C184" s="1162" t="s">
        <v>1097</v>
      </c>
    </row>
    <row r="185" spans="2:3" ht="15">
      <c r="B185" s="1163" t="s">
        <v>1098</v>
      </c>
      <c r="C185" s="1162" t="s">
        <v>1099</v>
      </c>
    </row>
    <row r="186" spans="2:3" ht="15">
      <c r="B186" s="1163" t="s">
        <v>1100</v>
      </c>
      <c r="C186" s="1162" t="s">
        <v>746</v>
      </c>
    </row>
    <row r="187" spans="2:3" ht="15">
      <c r="B187" s="1163" t="s">
        <v>1101</v>
      </c>
      <c r="C187" s="1162" t="s">
        <v>755</v>
      </c>
    </row>
    <row r="188" spans="2:3" ht="15">
      <c r="B188" s="1163" t="s">
        <v>1102</v>
      </c>
      <c r="C188" s="1162" t="s">
        <v>1103</v>
      </c>
    </row>
    <row r="189" spans="2:3" ht="15">
      <c r="B189" s="1163" t="s">
        <v>1104</v>
      </c>
      <c r="C189" s="1162" t="s">
        <v>1105</v>
      </c>
    </row>
    <row r="190" spans="2:3" ht="25.5">
      <c r="B190" s="1163" t="s">
        <v>1106</v>
      </c>
      <c r="C190" s="1162" t="s">
        <v>1107</v>
      </c>
    </row>
    <row r="191" spans="2:3" ht="15">
      <c r="B191" s="1163" t="s">
        <v>1108</v>
      </c>
      <c r="C191" s="1162" t="s">
        <v>1109</v>
      </c>
    </row>
    <row r="192" spans="2:3" ht="15">
      <c r="B192" s="1163" t="s">
        <v>1110</v>
      </c>
      <c r="C192" s="1162" t="s">
        <v>1111</v>
      </c>
    </row>
    <row r="193" spans="2:3" ht="15">
      <c r="B193" s="1163" t="s">
        <v>1112</v>
      </c>
      <c r="C193" s="1162" t="s">
        <v>1113</v>
      </c>
    </row>
    <row r="194" spans="2:3" ht="15">
      <c r="B194" s="1163" t="s">
        <v>1114</v>
      </c>
      <c r="C194" s="1162" t="s">
        <v>1115</v>
      </c>
    </row>
    <row r="195" spans="2:3" ht="15">
      <c r="B195" s="1163" t="s">
        <v>1116</v>
      </c>
      <c r="C195" s="1162" t="s">
        <v>1117</v>
      </c>
    </row>
    <row r="196" spans="2:3" ht="15">
      <c r="B196" s="1163" t="s">
        <v>1118</v>
      </c>
      <c r="C196" s="1162" t="s">
        <v>1119</v>
      </c>
    </row>
    <row r="197" spans="2:3" ht="15">
      <c r="B197" s="1163" t="s">
        <v>1120</v>
      </c>
      <c r="C197" s="1162" t="s">
        <v>1121</v>
      </c>
    </row>
    <row r="198" spans="2:3" ht="15">
      <c r="B198" s="1163" t="s">
        <v>1122</v>
      </c>
      <c r="C198" s="1162" t="s">
        <v>1123</v>
      </c>
    </row>
    <row r="199" spans="2:3" ht="15">
      <c r="B199" s="1163" t="s">
        <v>1124</v>
      </c>
      <c r="C199" s="1162" t="s">
        <v>1125</v>
      </c>
    </row>
    <row r="200" spans="2:3" ht="15">
      <c r="B200" s="1163" t="s">
        <v>1126</v>
      </c>
      <c r="C200" s="1162" t="s">
        <v>1127</v>
      </c>
    </row>
    <row r="201" spans="2:3" ht="15">
      <c r="B201" s="1163" t="s">
        <v>1128</v>
      </c>
      <c r="C201" s="1162" t="s">
        <v>756</v>
      </c>
    </row>
    <row r="202" spans="2:3" ht="15">
      <c r="B202" s="1163" t="s">
        <v>1129</v>
      </c>
      <c r="C202" s="1162" t="s">
        <v>1130</v>
      </c>
    </row>
    <row r="203" spans="2:3" ht="15">
      <c r="B203" s="1163" t="s">
        <v>1131</v>
      </c>
      <c r="C203" s="1162" t="s">
        <v>1132</v>
      </c>
    </row>
    <row r="204" spans="2:3" ht="15">
      <c r="B204" s="1163" t="s">
        <v>1133</v>
      </c>
      <c r="C204" s="1162" t="s">
        <v>1134</v>
      </c>
    </row>
    <row r="205" spans="2:3" ht="15">
      <c r="B205" s="1163" t="s">
        <v>1135</v>
      </c>
      <c r="C205" s="1162" t="s">
        <v>1136</v>
      </c>
    </row>
    <row r="206" spans="2:3" ht="15">
      <c r="B206" s="1163" t="s">
        <v>1137</v>
      </c>
      <c r="C206" s="1162" t="s">
        <v>747</v>
      </c>
    </row>
    <row r="207" spans="2:3" ht="15">
      <c r="B207" s="1163" t="s">
        <v>1138</v>
      </c>
      <c r="C207" s="1162" t="s">
        <v>748</v>
      </c>
    </row>
    <row r="208" spans="2:3" ht="15">
      <c r="B208" s="1163" t="s">
        <v>1139</v>
      </c>
      <c r="C208" s="1162" t="s">
        <v>1140</v>
      </c>
    </row>
    <row r="209" spans="2:3" ht="15">
      <c r="B209" s="1163" t="s">
        <v>1141</v>
      </c>
      <c r="C209" s="1162" t="s">
        <v>1142</v>
      </c>
    </row>
    <row r="210" spans="2:3" ht="15">
      <c r="B210" s="1163" t="s">
        <v>1143</v>
      </c>
      <c r="C210" s="1162" t="s">
        <v>1144</v>
      </c>
    </row>
    <row r="211" spans="2:3" ht="25.5">
      <c r="B211" s="1163" t="s">
        <v>1145</v>
      </c>
      <c r="C211" s="1162" t="s">
        <v>1146</v>
      </c>
    </row>
    <row r="212" spans="2:3" ht="15">
      <c r="B212" s="1163" t="s">
        <v>1147</v>
      </c>
      <c r="C212" s="1162" t="s">
        <v>1148</v>
      </c>
    </row>
    <row r="213" spans="2:3" ht="15">
      <c r="B213" s="1163" t="s">
        <v>1149</v>
      </c>
      <c r="C213" s="1162" t="s">
        <v>749</v>
      </c>
    </row>
    <row r="214" spans="2:3" ht="15">
      <c r="B214" s="1163" t="s">
        <v>1150</v>
      </c>
      <c r="C214" s="1162" t="s">
        <v>1151</v>
      </c>
    </row>
    <row r="215" spans="2:3" ht="15">
      <c r="B215" s="1163" t="s">
        <v>1152</v>
      </c>
      <c r="C215" s="1162" t="s">
        <v>1153</v>
      </c>
    </row>
    <row r="216" spans="2:3" ht="15">
      <c r="B216" s="1163" t="s">
        <v>1154</v>
      </c>
      <c r="C216" s="1162" t="s">
        <v>1155</v>
      </c>
    </row>
    <row r="217" spans="2:3" ht="15">
      <c r="B217" s="1163" t="s">
        <v>1156</v>
      </c>
      <c r="C217" s="1162" t="s">
        <v>1157</v>
      </c>
    </row>
    <row r="218" spans="2:3" ht="15">
      <c r="B218" s="1163" t="s">
        <v>1158</v>
      </c>
      <c r="C218" s="1162" t="s">
        <v>1159</v>
      </c>
    </row>
    <row r="219" spans="2:3" ht="15">
      <c r="B219" s="1163" t="s">
        <v>1160</v>
      </c>
      <c r="C219" s="1162" t="s">
        <v>750</v>
      </c>
    </row>
    <row r="220" spans="2:3" ht="15">
      <c r="B220" s="1163" t="s">
        <v>1161</v>
      </c>
      <c r="C220" s="1162" t="s">
        <v>757</v>
      </c>
    </row>
    <row r="221" spans="2:3" ht="15">
      <c r="B221" s="1163" t="s">
        <v>1162</v>
      </c>
      <c r="C221" s="1162" t="s">
        <v>1163</v>
      </c>
    </row>
    <row r="222" spans="2:3" ht="15">
      <c r="B222" s="1163" t="s">
        <v>1164</v>
      </c>
      <c r="C222" s="1162" t="s">
        <v>1165</v>
      </c>
    </row>
    <row r="223" spans="2:3" ht="15">
      <c r="B223" s="1163" t="s">
        <v>1166</v>
      </c>
      <c r="C223" s="1162" t="s">
        <v>1167</v>
      </c>
    </row>
    <row r="224" spans="2:3" ht="15">
      <c r="B224" s="1163" t="s">
        <v>1168</v>
      </c>
      <c r="C224" s="1162" t="s">
        <v>1169</v>
      </c>
    </row>
    <row r="225" spans="2:3" ht="15">
      <c r="B225" s="1163" t="s">
        <v>1170</v>
      </c>
      <c r="C225" s="1162" t="s">
        <v>1171</v>
      </c>
    </row>
    <row r="226" spans="2:3" ht="15">
      <c r="B226" s="1163" t="s">
        <v>1172</v>
      </c>
      <c r="C226" s="1162" t="s">
        <v>1173</v>
      </c>
    </row>
    <row r="227" spans="2:3" ht="15">
      <c r="B227" s="1163" t="s">
        <v>1174</v>
      </c>
      <c r="C227" s="1162" t="s">
        <v>1175</v>
      </c>
    </row>
    <row r="228" spans="2:3" ht="15">
      <c r="B228" s="1163" t="s">
        <v>1176</v>
      </c>
      <c r="C228" s="1162" t="s">
        <v>1177</v>
      </c>
    </row>
    <row r="229" spans="2:3" ht="15">
      <c r="B229" s="1163" t="s">
        <v>1178</v>
      </c>
      <c r="C229" s="1162" t="s">
        <v>1179</v>
      </c>
    </row>
    <row r="230" spans="2:3" ht="15">
      <c r="B230" s="1163" t="s">
        <v>1180</v>
      </c>
      <c r="C230" s="1162" t="s">
        <v>1181</v>
      </c>
    </row>
    <row r="231" spans="2:3" ht="15">
      <c r="B231" s="1163" t="s">
        <v>1182</v>
      </c>
      <c r="C231" s="1162" t="s">
        <v>1183</v>
      </c>
    </row>
    <row r="232" spans="2:3" ht="15">
      <c r="B232" s="1163" t="s">
        <v>1184</v>
      </c>
      <c r="C232" s="1162" t="s">
        <v>758</v>
      </c>
    </row>
    <row r="233" spans="2:3" ht="15">
      <c r="B233" s="1163" t="s">
        <v>1185</v>
      </c>
      <c r="C233" s="1162" t="s">
        <v>1186</v>
      </c>
    </row>
    <row r="234" spans="2:3" ht="15">
      <c r="B234" s="1163" t="s">
        <v>1187</v>
      </c>
      <c r="C234" s="1162" t="s">
        <v>1188</v>
      </c>
    </row>
    <row r="235" spans="2:3" ht="15">
      <c r="B235" s="1163" t="s">
        <v>1189</v>
      </c>
      <c r="C235" s="1162" t="s">
        <v>1190</v>
      </c>
    </row>
    <row r="236" spans="2:3" ht="15">
      <c r="B236" s="1163" t="s">
        <v>1191</v>
      </c>
      <c r="C236" s="1162" t="s">
        <v>1192</v>
      </c>
    </row>
    <row r="237" spans="2:3" ht="15">
      <c r="B237" s="1163" t="s">
        <v>1193</v>
      </c>
      <c r="C237" s="1162" t="s">
        <v>759</v>
      </c>
    </row>
    <row r="238" spans="2:3" ht="15">
      <c r="B238" s="1163" t="s">
        <v>1194</v>
      </c>
      <c r="C238" s="1162" t="s">
        <v>1195</v>
      </c>
    </row>
    <row r="239" spans="2:3" ht="15">
      <c r="B239" s="1163" t="s">
        <v>1196</v>
      </c>
      <c r="C239" s="1162" t="s">
        <v>751</v>
      </c>
    </row>
    <row r="240" spans="2:3" ht="15">
      <c r="B240" s="1163" t="s">
        <v>1197</v>
      </c>
      <c r="C240" s="1162" t="s">
        <v>760</v>
      </c>
    </row>
    <row r="241" spans="2:3" ht="15">
      <c r="B241" s="1163" t="s">
        <v>1198</v>
      </c>
      <c r="C241" s="1162" t="s">
        <v>1199</v>
      </c>
    </row>
    <row r="242" spans="2:3" ht="15">
      <c r="B242" s="1163" t="s">
        <v>1200</v>
      </c>
      <c r="C242" s="1162" t="s">
        <v>1201</v>
      </c>
    </row>
    <row r="243" spans="2:3" ht="15">
      <c r="B243" s="1163" t="s">
        <v>1202</v>
      </c>
      <c r="C243" s="1162" t="s">
        <v>1203</v>
      </c>
    </row>
    <row r="244" spans="2:3" ht="15">
      <c r="B244" s="1163" t="s">
        <v>1204</v>
      </c>
      <c r="C244" s="1162" t="s">
        <v>1205</v>
      </c>
    </row>
    <row r="245" spans="2:3" ht="15">
      <c r="B245" s="1163" t="s">
        <v>1206</v>
      </c>
      <c r="C245" s="1162" t="s">
        <v>1207</v>
      </c>
    </row>
    <row r="246" spans="2:3" ht="15">
      <c r="B246" s="1163" t="s">
        <v>1208</v>
      </c>
      <c r="C246" s="1162" t="s">
        <v>1209</v>
      </c>
    </row>
    <row r="247" spans="2:3" ht="15">
      <c r="B247" s="1163" t="s">
        <v>1210</v>
      </c>
      <c r="C247" s="1162" t="s">
        <v>1211</v>
      </c>
    </row>
    <row r="248" spans="2:3" ht="15">
      <c r="B248" s="1163" t="s">
        <v>1212</v>
      </c>
      <c r="C248" s="1162" t="s">
        <v>1213</v>
      </c>
    </row>
    <row r="249" spans="2:3" ht="15">
      <c r="B249" s="1163" t="s">
        <v>1214</v>
      </c>
      <c r="C249" s="1162" t="s">
        <v>1215</v>
      </c>
    </row>
    <row r="250" spans="2:3" ht="15">
      <c r="B250" s="1163" t="s">
        <v>1216</v>
      </c>
      <c r="C250" s="1162" t="s">
        <v>1217</v>
      </c>
    </row>
    <row r="251" spans="2:3" ht="15">
      <c r="B251" s="1163" t="s">
        <v>1218</v>
      </c>
      <c r="C251" s="1162" t="s">
        <v>1219</v>
      </c>
    </row>
    <row r="252" spans="2:3" ht="15">
      <c r="B252" s="1163" t="s">
        <v>1220</v>
      </c>
      <c r="C252" s="1162" t="s">
        <v>1221</v>
      </c>
    </row>
    <row r="253" spans="2:3" ht="15">
      <c r="B253" s="1163" t="s">
        <v>1222</v>
      </c>
      <c r="C253" s="1162" t="s">
        <v>1223</v>
      </c>
    </row>
  </sheetData>
  <sheetProtection password="C2F4" sheet="1" objects="1" scenarios="1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0" tint="-0.499984740745262"/>
    <pageSetUpPr fitToPage="1"/>
  </sheetPr>
  <dimension ref="A1:O122"/>
  <sheetViews>
    <sheetView topLeftCell="B6" zoomScaleNormal="100" zoomScaleSheetLayoutView="100" workbookViewId="0">
      <selection activeCell="B6" sqref="B6"/>
    </sheetView>
  </sheetViews>
  <sheetFormatPr defaultColWidth="9.140625" defaultRowHeight="12.75"/>
  <cols>
    <col min="1" max="1" width="13.5703125" style="1156" hidden="1" customWidth="1"/>
    <col min="2" max="2" width="4" style="62" bestFit="1" customWidth="1"/>
    <col min="3" max="3" width="46" style="62" customWidth="1"/>
    <col min="4" max="4" width="33.42578125" style="107" customWidth="1"/>
    <col min="5" max="5" width="18.7109375" style="62" customWidth="1"/>
    <col min="6" max="6" width="17.140625" style="62" customWidth="1"/>
    <col min="7" max="7" width="13" style="62" customWidth="1"/>
    <col min="8" max="16384" width="9.140625" style="62"/>
  </cols>
  <sheetData>
    <row r="1" spans="1:15" s="1097" customFormat="1" ht="18" hidden="1" customHeight="1">
      <c r="A1" s="1096" t="s">
        <v>1265</v>
      </c>
      <c r="B1" s="1118">
        <v>2</v>
      </c>
      <c r="C1" s="1118">
        <v>1</v>
      </c>
      <c r="D1" s="1119">
        <v>12</v>
      </c>
      <c r="E1" s="1182">
        <v>5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15" s="1097" customFormat="1" ht="18" hidden="1" customHeight="1">
      <c r="A2" s="1096" t="str">
        <f>Index!$A$2</f>
        <v>V20181222</v>
      </c>
      <c r="B2" s="1098"/>
      <c r="C2" s="1099"/>
      <c r="D2" s="1100"/>
      <c r="E2" s="1100" t="str">
        <f>$A$1&amp;"_"&amp;E11</f>
        <v>F-21.00_010</v>
      </c>
      <c r="F2" s="1100"/>
      <c r="G2" s="1100"/>
      <c r="H2" s="1100"/>
      <c r="I2" s="1100"/>
      <c r="J2" s="1100"/>
      <c r="K2" s="1100"/>
      <c r="L2" s="1100"/>
      <c r="M2" s="1100"/>
      <c r="N2" s="1101"/>
    </row>
    <row r="3" spans="1:15" s="1097" customFormat="1" ht="18" hidden="1" customHeight="1">
      <c r="A3" s="1096" t="str">
        <f>"R:A1:P"&amp;ROW(A25)+1</f>
        <v>R:A1:P26</v>
      </c>
      <c r="B3" s="1102"/>
      <c r="C3" s="1103"/>
      <c r="D3" s="1104"/>
      <c r="E3" s="1105"/>
      <c r="F3" s="1106"/>
      <c r="G3" s="1107"/>
      <c r="H3" s="1107"/>
      <c r="I3" s="1107"/>
      <c r="J3" s="1107"/>
      <c r="K3" s="1107"/>
    </row>
    <row r="4" spans="1:15" s="1097" customFormat="1" ht="18" hidden="1" customHeight="1">
      <c r="A4" s="1096"/>
      <c r="B4" s="1102"/>
      <c r="C4" s="1103"/>
      <c r="D4" s="1108"/>
      <c r="E4" s="1109"/>
      <c r="F4" s="1110"/>
      <c r="G4" s="1111">
        <f>N5</f>
        <v>0</v>
      </c>
      <c r="H4" s="1107"/>
      <c r="I4" s="1107"/>
      <c r="J4" s="1107"/>
      <c r="K4" s="1107"/>
    </row>
    <row r="5" spans="1:15" s="1097" customFormat="1" ht="18" hidden="1" customHeight="1">
      <c r="A5" s="1096"/>
      <c r="B5" s="1102"/>
      <c r="C5" s="1103"/>
      <c r="D5" s="1112"/>
      <c r="E5" s="1113"/>
      <c r="F5" s="1114"/>
      <c r="N5" s="1097">
        <f>COUNTIF(F12:H20,"&lt;&gt;0")-COUNTBLANK(F12:H20)+COUNTIF(E21:E25,"&lt;&gt;0")-COUNTBLANK(E21:E25)</f>
        <v>0</v>
      </c>
    </row>
    <row r="6" spans="1:15" s="1116" customFormat="1">
      <c r="A6" s="1100" t="s">
        <v>718</v>
      </c>
      <c r="B6" s="1115"/>
    </row>
    <row r="7" spans="1:15">
      <c r="A7" s="1100" t="s">
        <v>718</v>
      </c>
      <c r="B7" s="272" t="s">
        <v>586</v>
      </c>
      <c r="D7" s="302"/>
    </row>
    <row r="8" spans="1:15">
      <c r="A8" s="1100" t="s">
        <v>718</v>
      </c>
      <c r="D8" s="302"/>
    </row>
    <row r="9" spans="1:15">
      <c r="A9" s="1100" t="s">
        <v>718</v>
      </c>
      <c r="B9" s="586"/>
      <c r="C9" s="483"/>
      <c r="D9" s="604" t="s">
        <v>551</v>
      </c>
      <c r="E9" s="437" t="s">
        <v>57</v>
      </c>
    </row>
    <row r="10" spans="1:15" ht="21">
      <c r="A10" s="1100" t="s">
        <v>718</v>
      </c>
      <c r="B10" s="493"/>
      <c r="C10" s="563"/>
      <c r="D10" s="564"/>
      <c r="E10" s="565" t="s">
        <v>1669</v>
      </c>
    </row>
    <row r="11" spans="1:15">
      <c r="A11" s="1100" t="s">
        <v>718</v>
      </c>
      <c r="B11" s="405"/>
      <c r="C11" s="566"/>
      <c r="D11" s="567"/>
      <c r="E11" s="568" t="s">
        <v>292</v>
      </c>
    </row>
    <row r="12" spans="1:15">
      <c r="A12" s="1156" t="str">
        <f t="shared" ref="A12:A20" si="0">$A$1&amp;"_"&amp;B12</f>
        <v>F-21.00_010</v>
      </c>
      <c r="B12" s="430" t="s">
        <v>292</v>
      </c>
      <c r="C12" s="299" t="s">
        <v>177</v>
      </c>
      <c r="D12" s="300" t="s">
        <v>539</v>
      </c>
      <c r="E12" s="1857"/>
      <c r="F12" s="676">
        <f>IF($E$12&gt;=0,0,"F21&gt;=0")</f>
        <v>0</v>
      </c>
    </row>
    <row r="13" spans="1:15">
      <c r="A13" s="1156" t="str">
        <f t="shared" si="0"/>
        <v>F-21.00_020</v>
      </c>
      <c r="B13" s="431" t="s">
        <v>293</v>
      </c>
      <c r="C13" s="86" t="s">
        <v>402</v>
      </c>
      <c r="D13" s="115" t="s">
        <v>544</v>
      </c>
      <c r="E13" s="1858"/>
      <c r="F13" s="676">
        <f>IF($E$13&gt;=0,0,"F21&gt;=0")</f>
        <v>0</v>
      </c>
    </row>
    <row r="14" spans="1:15">
      <c r="A14" s="1156" t="str">
        <f t="shared" si="0"/>
        <v>F-21.00_030</v>
      </c>
      <c r="B14" s="431" t="s">
        <v>294</v>
      </c>
      <c r="C14" s="86" t="s">
        <v>403</v>
      </c>
      <c r="D14" s="115" t="s">
        <v>545</v>
      </c>
      <c r="E14" s="1858"/>
      <c r="F14" s="676">
        <f>IF($E$14&gt;=0,0,"F21&gt;=0")</f>
        <v>0</v>
      </c>
    </row>
    <row r="15" spans="1:15">
      <c r="A15" s="1156" t="str">
        <f t="shared" si="0"/>
        <v>F-21.00_040</v>
      </c>
      <c r="B15" s="431" t="s">
        <v>295</v>
      </c>
      <c r="C15" s="301" t="s">
        <v>159</v>
      </c>
      <c r="D15" s="115" t="s">
        <v>546</v>
      </c>
      <c r="E15" s="1859"/>
      <c r="F15" s="676">
        <f>IF($E$15&gt;=0,0,"F21&gt;=0")</f>
        <v>0</v>
      </c>
    </row>
    <row r="16" spans="1:15">
      <c r="A16" s="1156" t="str">
        <f>$A$1&amp;"_"&amp;B16</f>
        <v>F-21.00_050</v>
      </c>
      <c r="B16" s="431" t="s">
        <v>296</v>
      </c>
      <c r="C16" s="86" t="s">
        <v>404</v>
      </c>
      <c r="D16" s="115" t="s">
        <v>178</v>
      </c>
      <c r="E16" s="1858"/>
      <c r="F16" s="676">
        <f>IF($E$16&gt;=0,0,"F21&gt;=0")</f>
        <v>0</v>
      </c>
    </row>
    <row r="17" spans="1:6">
      <c r="A17" s="1156" t="str">
        <f t="shared" si="0"/>
        <v>F-21.00_060</v>
      </c>
      <c r="B17" s="431" t="s">
        <v>297</v>
      </c>
      <c r="C17" s="86" t="s">
        <v>403</v>
      </c>
      <c r="D17" s="115" t="s">
        <v>547</v>
      </c>
      <c r="E17" s="1858"/>
      <c r="F17" s="676">
        <f>IF($E$17&gt;=0,0,"F21&gt;=0")</f>
        <v>0</v>
      </c>
    </row>
    <row r="18" spans="1:6">
      <c r="A18" s="1156" t="str">
        <f t="shared" si="0"/>
        <v>F-21.00_070</v>
      </c>
      <c r="B18" s="431" t="s">
        <v>298</v>
      </c>
      <c r="C18" s="301" t="s">
        <v>69</v>
      </c>
      <c r="D18" s="291" t="s">
        <v>179</v>
      </c>
      <c r="E18" s="1859"/>
      <c r="F18" s="676">
        <f>IF($E$18&gt;=0,0,"F21&gt;=0")</f>
        <v>0</v>
      </c>
    </row>
    <row r="19" spans="1:6">
      <c r="A19" s="1156" t="str">
        <f t="shared" si="0"/>
        <v>F-21.00_080</v>
      </c>
      <c r="B19" s="431" t="s">
        <v>299</v>
      </c>
      <c r="C19" s="86" t="s">
        <v>405</v>
      </c>
      <c r="D19" s="115" t="s">
        <v>548</v>
      </c>
      <c r="E19" s="1858"/>
      <c r="F19" s="676">
        <f>IF($E$19&gt;=0,0,"F21&gt;=0")</f>
        <v>0</v>
      </c>
    </row>
    <row r="20" spans="1:6">
      <c r="A20" s="1156" t="str">
        <f t="shared" si="0"/>
        <v>F-21.00_090</v>
      </c>
      <c r="B20" s="482" t="s">
        <v>300</v>
      </c>
      <c r="C20" s="87" t="s">
        <v>403</v>
      </c>
      <c r="D20" s="117" t="s">
        <v>180</v>
      </c>
      <c r="E20" s="1860"/>
      <c r="F20" s="676">
        <f>IF($E$20&gt;=0,0,"F21&gt;=0")</f>
        <v>0</v>
      </c>
    </row>
    <row r="21" spans="1:6">
      <c r="A21" s="1100" t="s">
        <v>718</v>
      </c>
    </row>
    <row r="22" spans="1:6">
      <c r="A22" s="1156" t="s">
        <v>724</v>
      </c>
      <c r="E22" s="676"/>
    </row>
    <row r="23" spans="1:6">
      <c r="A23" s="1096"/>
      <c r="E23" s="676"/>
    </row>
    <row r="24" spans="1:6">
      <c r="A24" s="1096"/>
      <c r="E24" s="676"/>
    </row>
    <row r="25" spans="1:6">
      <c r="A25" s="1096"/>
    </row>
    <row r="26" spans="1:6">
      <c r="A26" s="1096"/>
    </row>
    <row r="27" spans="1:6">
      <c r="A27" s="1096"/>
    </row>
    <row r="28" spans="1:6">
      <c r="A28" s="1100"/>
    </row>
    <row r="29" spans="1:6">
      <c r="A29" s="1100"/>
    </row>
    <row r="30" spans="1:6">
      <c r="A30" s="1100"/>
    </row>
    <row r="31" spans="1:6">
      <c r="A31" s="1100"/>
    </row>
    <row r="32" spans="1:6">
      <c r="A32" s="1100"/>
    </row>
    <row r="33" spans="1:1">
      <c r="A33" s="1100"/>
    </row>
    <row r="37" spans="1:1">
      <c r="A37" s="1100"/>
    </row>
    <row r="39" spans="1:1">
      <c r="A39" s="1096"/>
    </row>
    <row r="40" spans="1:1">
      <c r="A40" s="1096"/>
    </row>
    <row r="41" spans="1:1">
      <c r="A41" s="1096"/>
    </row>
    <row r="42" spans="1:1">
      <c r="A42" s="1096"/>
    </row>
    <row r="43" spans="1:1">
      <c r="A43" s="1096"/>
    </row>
    <row r="44" spans="1:1">
      <c r="A44" s="1100"/>
    </row>
    <row r="45" spans="1:1">
      <c r="A45" s="1100"/>
    </row>
    <row r="46" spans="1:1">
      <c r="A46" s="1100"/>
    </row>
    <row r="47" spans="1:1">
      <c r="A47" s="1100"/>
    </row>
    <row r="48" spans="1:1">
      <c r="A48" s="1100"/>
    </row>
    <row r="49" spans="1:1">
      <c r="A49" s="1100"/>
    </row>
    <row r="50" spans="1:1">
      <c r="A50" s="1100"/>
    </row>
    <row r="64" spans="1:1">
      <c r="A64" s="1100"/>
    </row>
    <row r="66" spans="1:1">
      <c r="A66" s="1096"/>
    </row>
    <row r="67" spans="1:1">
      <c r="A67" s="1096"/>
    </row>
    <row r="68" spans="1:1">
      <c r="A68" s="1096"/>
    </row>
    <row r="69" spans="1:1">
      <c r="A69" s="1096"/>
    </row>
    <row r="70" spans="1:1">
      <c r="A70" s="1096"/>
    </row>
    <row r="71" spans="1:1">
      <c r="A71" s="1100"/>
    </row>
    <row r="72" spans="1:1">
      <c r="A72" s="1100"/>
    </row>
    <row r="73" spans="1:1">
      <c r="A73" s="1100"/>
    </row>
    <row r="74" spans="1:1">
      <c r="A74" s="1100"/>
    </row>
    <row r="75" spans="1:1">
      <c r="A75" s="1100"/>
    </row>
    <row r="76" spans="1:1">
      <c r="A76" s="1100"/>
    </row>
    <row r="77" spans="1:1">
      <c r="A77" s="1100"/>
    </row>
    <row r="78" spans="1:1">
      <c r="A78" s="1100"/>
    </row>
    <row r="98" spans="1:1">
      <c r="A98" s="1100"/>
    </row>
    <row r="103" spans="1:1">
      <c r="A103" s="1100"/>
    </row>
    <row r="105" spans="1:1">
      <c r="A105" s="1100"/>
    </row>
    <row r="111" spans="1:1">
      <c r="A111" s="1100"/>
    </row>
    <row r="113" spans="1:1">
      <c r="A113" s="1096"/>
    </row>
    <row r="114" spans="1:1">
      <c r="A114" s="1096"/>
    </row>
    <row r="115" spans="1:1">
      <c r="A115" s="1096"/>
    </row>
    <row r="116" spans="1:1">
      <c r="A116" s="1100"/>
    </row>
    <row r="117" spans="1:1">
      <c r="A117" s="1100"/>
    </row>
    <row r="118" spans="1:1">
      <c r="A118" s="1100"/>
    </row>
    <row r="119" spans="1:1">
      <c r="A119" s="1100"/>
    </row>
    <row r="120" spans="1:1">
      <c r="A120" s="1100"/>
    </row>
    <row r="121" spans="1:1">
      <c r="A121" s="1100"/>
    </row>
    <row r="122" spans="1:1">
      <c r="A122" s="1100"/>
    </row>
  </sheetData>
  <sheetProtection password="C2F4" sheet="1" objects="1" scenarios="1"/>
  <dataValidations count="1">
    <dataValidation type="whole" allowBlank="1" showInputMessage="1" showErrorMessage="1" error="Wrong number format or sign" sqref="E12:E20">
      <formula1>0</formula1>
      <formula2>99999999</formula2>
    </dataValidation>
  </dataValidations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scale="97" orientation="landscape" cellComments="asDisplayed" r:id="rId1"/>
  <headerFooter scaleWithDoc="0" alignWithMargins="0"/>
  <ignoredErrors>
    <ignoredError sqref="E11 B12:B20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O129"/>
  <sheetViews>
    <sheetView topLeftCell="B6" zoomScaleNormal="100" zoomScaleSheetLayoutView="100" workbookViewId="0">
      <selection activeCell="B6" sqref="B6"/>
    </sheetView>
  </sheetViews>
  <sheetFormatPr defaultColWidth="11.42578125" defaultRowHeight="12.75"/>
  <cols>
    <col min="1" max="1" width="13.5703125" style="1156" hidden="1" customWidth="1"/>
    <col min="2" max="2" width="4.42578125" style="146" customWidth="1"/>
    <col min="3" max="3" width="75.140625" style="146" customWidth="1"/>
    <col min="4" max="4" width="32" style="146" customWidth="1"/>
    <col min="5" max="5" width="14.85546875" style="146" customWidth="1"/>
    <col min="6" max="6" width="11.28515625" style="146" customWidth="1"/>
    <col min="7" max="16384" width="11.42578125" style="146"/>
  </cols>
  <sheetData>
    <row r="1" spans="1:15" s="1097" customFormat="1" ht="18" hidden="1" customHeight="1">
      <c r="A1" s="1096" t="s">
        <v>1266</v>
      </c>
      <c r="B1" s="1118">
        <v>2</v>
      </c>
      <c r="C1" s="1118">
        <v>1</v>
      </c>
      <c r="D1" s="1119">
        <v>13</v>
      </c>
      <c r="E1" s="1182">
        <v>5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15" s="1097" customFormat="1" ht="18" hidden="1" customHeight="1">
      <c r="A2" s="1096" t="str">
        <f>Index!$A$2</f>
        <v>V20181222</v>
      </c>
      <c r="B2" s="1098"/>
      <c r="C2" s="1099"/>
      <c r="D2" s="1100"/>
      <c r="E2" s="1100" t="str">
        <f>$A$1&amp;"_"&amp;E13</f>
        <v>F-22.01_010</v>
      </c>
      <c r="F2" s="1100"/>
      <c r="G2" s="1100"/>
      <c r="H2" s="1100"/>
      <c r="I2" s="1100"/>
      <c r="J2" s="1100"/>
      <c r="K2" s="1100"/>
      <c r="L2" s="1100"/>
      <c r="M2" s="1100"/>
      <c r="N2" s="1101"/>
    </row>
    <row r="3" spans="1:15" s="1097" customFormat="1" ht="18" hidden="1" customHeight="1">
      <c r="A3" s="1096" t="str">
        <f>"R:A1:P"&amp;ROW(A73)+1</f>
        <v>R:A1:P74</v>
      </c>
      <c r="B3" s="1102"/>
      <c r="C3" s="1103"/>
      <c r="D3" s="1104"/>
      <c r="E3" s="1105"/>
      <c r="F3" s="1106"/>
      <c r="G3" s="1107"/>
      <c r="H3" s="1107"/>
      <c r="I3" s="1107"/>
      <c r="J3" s="1107"/>
      <c r="K3" s="1107"/>
    </row>
    <row r="4" spans="1:15" s="1097" customFormat="1" ht="18" hidden="1" customHeight="1">
      <c r="A4" s="1096"/>
      <c r="B4" s="1102"/>
      <c r="C4" s="1103"/>
      <c r="D4" s="1108"/>
      <c r="E4" s="1109"/>
      <c r="F4" s="1110"/>
      <c r="G4" s="1111">
        <f>N5</f>
        <v>0</v>
      </c>
      <c r="H4" s="1107"/>
      <c r="I4" s="1107"/>
      <c r="J4" s="1107"/>
      <c r="K4" s="1107"/>
    </row>
    <row r="5" spans="1:15" s="1097" customFormat="1" ht="18" hidden="1" customHeight="1">
      <c r="A5" s="1096"/>
      <c r="B5" s="1102"/>
      <c r="C5" s="1103"/>
      <c r="D5" s="1112"/>
      <c r="E5" s="1113"/>
      <c r="F5" s="1114"/>
      <c r="N5" s="1097">
        <f>COUNTIF(F13:G42,"&lt;&gt;0")-COUNTBLANK(F13:G42)+COUNTIF(D43:F44,"&lt;&gt;0")-COUNTBLANK(D43:F44)</f>
        <v>0</v>
      </c>
    </row>
    <row r="6" spans="1:15" s="1116" customFormat="1">
      <c r="A6" s="1100" t="s">
        <v>718</v>
      </c>
      <c r="B6" s="1115"/>
    </row>
    <row r="7" spans="1:15">
      <c r="A7" s="1100" t="s">
        <v>718</v>
      </c>
      <c r="B7" s="88" t="s">
        <v>679</v>
      </c>
      <c r="C7" s="150"/>
      <c r="D7" s="60"/>
    </row>
    <row r="8" spans="1:15">
      <c r="A8" s="1100" t="s">
        <v>718</v>
      </c>
      <c r="B8" s="272"/>
      <c r="D8" s="60"/>
    </row>
    <row r="9" spans="1:15" s="62" customFormat="1">
      <c r="A9" s="1100" t="s">
        <v>718</v>
      </c>
      <c r="B9" s="60" t="s">
        <v>678</v>
      </c>
      <c r="D9" s="598"/>
    </row>
    <row r="10" spans="1:15" s="62" customFormat="1">
      <c r="A10" s="1100" t="s">
        <v>718</v>
      </c>
      <c r="C10" s="93"/>
      <c r="D10" s="114"/>
    </row>
    <row r="11" spans="1:15" s="62" customFormat="1">
      <c r="A11" s="1100" t="s">
        <v>718</v>
      </c>
      <c r="B11" s="402"/>
      <c r="C11" s="569"/>
      <c r="D11" s="1992" t="s">
        <v>1645</v>
      </c>
      <c r="E11" s="575" t="s">
        <v>54</v>
      </c>
    </row>
    <row r="12" spans="1:15" s="62" customFormat="1" ht="21">
      <c r="A12" s="1100"/>
      <c r="B12" s="493"/>
      <c r="C12" s="1503"/>
      <c r="D12" s="1994"/>
      <c r="E12" s="1504" t="s">
        <v>1646</v>
      </c>
    </row>
    <row r="13" spans="1:15" s="62" customFormat="1">
      <c r="A13" s="1100" t="s">
        <v>718</v>
      </c>
      <c r="B13" s="405"/>
      <c r="C13" s="570"/>
      <c r="D13" s="496" t="s">
        <v>1647</v>
      </c>
      <c r="E13" s="571" t="s">
        <v>292</v>
      </c>
      <c r="F13" s="671"/>
    </row>
    <row r="14" spans="1:15" s="62" customFormat="1">
      <c r="A14" s="1156" t="str">
        <f t="shared" ref="A14:A42" si="0">$A$1&amp;"_"&amp;B14</f>
        <v>F-22.01_010</v>
      </c>
      <c r="B14" s="386" t="s">
        <v>292</v>
      </c>
      <c r="C14" s="190" t="s">
        <v>221</v>
      </c>
      <c r="D14" s="614" t="s">
        <v>1648</v>
      </c>
      <c r="E14" s="854">
        <f>$E$15+$E$19+$E$20+$E$21+$E$24+$E$25+$E$26+$E$27+$E$31+$E$32+$E$33+$E$34+$E$35</f>
        <v>0</v>
      </c>
      <c r="F14" s="676">
        <f>IF($E$14&gt;=0,0,"F22.1&gt;=0")</f>
        <v>0</v>
      </c>
    </row>
    <row r="15" spans="1:15" s="62" customFormat="1">
      <c r="A15" s="1156" t="str">
        <f t="shared" si="0"/>
        <v>F-22.01_020</v>
      </c>
      <c r="B15" s="363" t="s">
        <v>293</v>
      </c>
      <c r="C15" s="92" t="s">
        <v>222</v>
      </c>
      <c r="D15" s="615"/>
      <c r="E15" s="855">
        <f>SUM($E$16:$E$18)</f>
        <v>0</v>
      </c>
      <c r="F15" s="676">
        <f>IF($E$15&gt;=0,0,"F22.1&gt;=0")</f>
        <v>0</v>
      </c>
    </row>
    <row r="16" spans="1:15" s="62" customFormat="1">
      <c r="A16" s="1156" t="str">
        <f t="shared" si="0"/>
        <v>F-22.01_030</v>
      </c>
      <c r="B16" s="363" t="s">
        <v>294</v>
      </c>
      <c r="C16" s="155" t="s">
        <v>550</v>
      </c>
      <c r="D16" s="115" t="s">
        <v>1649</v>
      </c>
      <c r="E16" s="922"/>
      <c r="F16" s="676">
        <f>IF($E$16&gt;=0,0,"F22.1&gt;=0")</f>
        <v>0</v>
      </c>
    </row>
    <row r="17" spans="1:6" s="62" customFormat="1">
      <c r="A17" s="1156" t="str">
        <f t="shared" si="0"/>
        <v>F-22.01_040</v>
      </c>
      <c r="B17" s="363" t="s">
        <v>295</v>
      </c>
      <c r="C17" s="155" t="s">
        <v>223</v>
      </c>
      <c r="D17" s="115" t="s">
        <v>1650</v>
      </c>
      <c r="E17" s="922"/>
      <c r="F17" s="676">
        <f>IF($E$17&gt;=0,0,"F22.1&gt;=0")</f>
        <v>0</v>
      </c>
    </row>
    <row r="18" spans="1:6" s="62" customFormat="1">
      <c r="A18" s="1156" t="str">
        <f t="shared" si="0"/>
        <v>F-22.01_050</v>
      </c>
      <c r="B18" s="363" t="s">
        <v>296</v>
      </c>
      <c r="C18" s="155" t="s">
        <v>93</v>
      </c>
      <c r="D18" s="115" t="s">
        <v>1651</v>
      </c>
      <c r="E18" s="922"/>
      <c r="F18" s="676">
        <f>IF($E$18&gt;=0,0,"F22.1&gt;=0")</f>
        <v>0</v>
      </c>
    </row>
    <row r="19" spans="1:6" s="62" customFormat="1">
      <c r="A19" s="1156" t="str">
        <f t="shared" si="0"/>
        <v>F-22.01_060</v>
      </c>
      <c r="B19" s="363" t="s">
        <v>297</v>
      </c>
      <c r="C19" s="101" t="s">
        <v>224</v>
      </c>
      <c r="D19" s="115" t="s">
        <v>1652</v>
      </c>
      <c r="E19" s="922"/>
      <c r="F19" s="676">
        <f>IF($E$19&gt;=0,0,"F22.1&gt;=0")</f>
        <v>0</v>
      </c>
    </row>
    <row r="20" spans="1:6" s="62" customFormat="1">
      <c r="A20" s="1156" t="str">
        <f t="shared" si="0"/>
        <v>F-22.01_070</v>
      </c>
      <c r="B20" s="363" t="s">
        <v>298</v>
      </c>
      <c r="C20" s="86" t="s">
        <v>225</v>
      </c>
      <c r="D20" s="115" t="s">
        <v>1653</v>
      </c>
      <c r="E20" s="922"/>
      <c r="F20" s="676">
        <f>IF($E$20&gt;=0,0,"F22.1&gt;=0")</f>
        <v>0</v>
      </c>
    </row>
    <row r="21" spans="1:6" s="62" customFormat="1">
      <c r="A21" s="1156" t="str">
        <f t="shared" si="0"/>
        <v>F-22.01_080</v>
      </c>
      <c r="B21" s="363" t="s">
        <v>299</v>
      </c>
      <c r="C21" s="86" t="s">
        <v>226</v>
      </c>
      <c r="D21" s="115" t="s">
        <v>1654</v>
      </c>
      <c r="E21" s="855">
        <f>SUM($E$22:$E$23)</f>
        <v>0</v>
      </c>
      <c r="F21" s="676">
        <f>IF($E$21&gt;=0,0,"F22.1&gt;=0")</f>
        <v>0</v>
      </c>
    </row>
    <row r="22" spans="1:6" s="62" customFormat="1">
      <c r="A22" s="1156" t="str">
        <f t="shared" si="0"/>
        <v>F-22.01_090</v>
      </c>
      <c r="B22" s="363" t="s">
        <v>300</v>
      </c>
      <c r="C22" s="154" t="s">
        <v>227</v>
      </c>
      <c r="D22" s="293"/>
      <c r="E22" s="922"/>
      <c r="F22" s="676">
        <f>IF($E$22&gt;=0,0,"F22.1&gt;=0")</f>
        <v>0</v>
      </c>
    </row>
    <row r="23" spans="1:6" s="62" customFormat="1">
      <c r="A23" s="1156" t="str">
        <f t="shared" si="0"/>
        <v>F-22.01_100</v>
      </c>
      <c r="B23" s="363" t="s">
        <v>301</v>
      </c>
      <c r="C23" s="154" t="s">
        <v>93</v>
      </c>
      <c r="D23" s="293"/>
      <c r="E23" s="922"/>
      <c r="F23" s="676">
        <f>IF($E$23&gt;=0,0,"F22.1&gt;=0")</f>
        <v>0</v>
      </c>
    </row>
    <row r="24" spans="1:6" s="62" customFormat="1">
      <c r="A24" s="1156" t="str">
        <f t="shared" si="0"/>
        <v>F-22.01_110</v>
      </c>
      <c r="B24" s="363" t="s">
        <v>302</v>
      </c>
      <c r="C24" s="86" t="s">
        <v>480</v>
      </c>
      <c r="D24" s="115" t="s">
        <v>1655</v>
      </c>
      <c r="E24" s="922"/>
      <c r="F24" s="676">
        <f>IF($E$24&gt;=0,0,"F22.1&gt;=0")</f>
        <v>0</v>
      </c>
    </row>
    <row r="25" spans="1:6" s="62" customFormat="1">
      <c r="A25" s="1156" t="str">
        <f t="shared" si="0"/>
        <v>F-22.01_120</v>
      </c>
      <c r="B25" s="363" t="s">
        <v>303</v>
      </c>
      <c r="C25" s="86" t="s">
        <v>228</v>
      </c>
      <c r="D25" s="115" t="s">
        <v>1656</v>
      </c>
      <c r="E25" s="922"/>
      <c r="F25" s="676">
        <f>IF($E$25&gt;=0,0,"F22.1&gt;=0")</f>
        <v>0</v>
      </c>
    </row>
    <row r="26" spans="1:6" s="62" customFormat="1">
      <c r="A26" s="1156" t="str">
        <f t="shared" si="0"/>
        <v>F-22.01_130</v>
      </c>
      <c r="B26" s="363" t="s">
        <v>304</v>
      </c>
      <c r="C26" s="86" t="s">
        <v>229</v>
      </c>
      <c r="D26" s="115" t="s">
        <v>1657</v>
      </c>
      <c r="E26" s="922"/>
      <c r="F26" s="676">
        <f>IF($E$26&gt;=0,0,"F22.1&gt;=0")</f>
        <v>0</v>
      </c>
    </row>
    <row r="27" spans="1:6" s="62" customFormat="1">
      <c r="A27" s="1156" t="str">
        <f t="shared" si="0"/>
        <v>F-22.01_140</v>
      </c>
      <c r="B27" s="363" t="s">
        <v>305</v>
      </c>
      <c r="C27" s="147" t="s">
        <v>230</v>
      </c>
      <c r="D27" s="115" t="s">
        <v>1658</v>
      </c>
      <c r="E27" s="855">
        <f>SUM($E$28:$E$30)</f>
        <v>0</v>
      </c>
      <c r="F27" s="676">
        <f>IF($E$27&gt;=0,0,"F22.1&gt;=0")</f>
        <v>0</v>
      </c>
    </row>
    <row r="28" spans="1:6" s="62" customFormat="1">
      <c r="A28" s="1156" t="str">
        <f t="shared" si="0"/>
        <v>F-22.01_150</v>
      </c>
      <c r="B28" s="363" t="s">
        <v>306</v>
      </c>
      <c r="C28" s="153" t="s">
        <v>227</v>
      </c>
      <c r="D28" s="268"/>
      <c r="E28" s="922"/>
      <c r="F28" s="676">
        <f>IF($E$28&gt;=0,0,"F22.1&gt;=0")</f>
        <v>0</v>
      </c>
    </row>
    <row r="29" spans="1:6" s="62" customFormat="1">
      <c r="A29" s="1156" t="str">
        <f t="shared" si="0"/>
        <v>F-22.01_160</v>
      </c>
      <c r="B29" s="363" t="s">
        <v>307</v>
      </c>
      <c r="C29" s="153" t="s">
        <v>231</v>
      </c>
      <c r="D29" s="268"/>
      <c r="E29" s="922"/>
      <c r="F29" s="676">
        <f>IF($E$29&gt;=0,0,"F22.1&gt;=0")</f>
        <v>0</v>
      </c>
    </row>
    <row r="30" spans="1:6" s="62" customFormat="1">
      <c r="A30" s="1156" t="str">
        <f t="shared" si="0"/>
        <v>F-22.01_170</v>
      </c>
      <c r="B30" s="363" t="s">
        <v>308</v>
      </c>
      <c r="C30" s="153" t="s">
        <v>93</v>
      </c>
      <c r="D30" s="268"/>
      <c r="E30" s="922"/>
      <c r="F30" s="676">
        <f>IF($E$30&gt;=0,0,"F22.1&gt;=0")</f>
        <v>0</v>
      </c>
    </row>
    <row r="31" spans="1:6" s="62" customFormat="1">
      <c r="A31" s="1156" t="str">
        <f t="shared" si="0"/>
        <v>F-22.01_180</v>
      </c>
      <c r="B31" s="363" t="s">
        <v>309</v>
      </c>
      <c r="C31" s="86" t="s">
        <v>232</v>
      </c>
      <c r="D31" s="115" t="s">
        <v>1659</v>
      </c>
      <c r="E31" s="922"/>
      <c r="F31" s="676">
        <f>IF($E$31&gt;=0,0,"F22.1&gt;=0")</f>
        <v>0</v>
      </c>
    </row>
    <row r="32" spans="1:6" s="62" customFormat="1">
      <c r="A32" s="1156" t="str">
        <f t="shared" si="0"/>
        <v>F-22.01_190</v>
      </c>
      <c r="B32" s="363" t="s">
        <v>310</v>
      </c>
      <c r="C32" s="86" t="s">
        <v>606</v>
      </c>
      <c r="D32" s="115" t="s">
        <v>1660</v>
      </c>
      <c r="E32" s="922"/>
      <c r="F32" s="676">
        <f>IF($E$32&gt;=0,0,"F22.1&gt;=0")</f>
        <v>0</v>
      </c>
    </row>
    <row r="33" spans="1:15" s="62" customFormat="1" ht="21">
      <c r="A33" s="1156" t="str">
        <f t="shared" si="0"/>
        <v>F-22.01_200</v>
      </c>
      <c r="B33" s="363">
        <v>200</v>
      </c>
      <c r="C33" s="147" t="s">
        <v>133</v>
      </c>
      <c r="D33" s="115" t="s">
        <v>1661</v>
      </c>
      <c r="E33" s="922"/>
      <c r="F33" s="676">
        <f>IF($E$33&gt;=0,0,"F22.1&gt;=0")</f>
        <v>0</v>
      </c>
    </row>
    <row r="34" spans="1:15" s="62" customFormat="1" ht="21">
      <c r="A34" s="1156" t="str">
        <f t="shared" si="0"/>
        <v>F-22.01_210</v>
      </c>
      <c r="B34" s="363">
        <v>210</v>
      </c>
      <c r="C34" s="92" t="s">
        <v>134</v>
      </c>
      <c r="D34" s="115" t="s">
        <v>1661</v>
      </c>
      <c r="E34" s="922"/>
      <c r="F34" s="676">
        <f>IF($E$34&gt;=0,0,"F22.1&gt;=0")</f>
        <v>0</v>
      </c>
    </row>
    <row r="35" spans="1:15" s="62" customFormat="1">
      <c r="A35" s="1156" t="str">
        <f t="shared" si="0"/>
        <v>F-22.01_220</v>
      </c>
      <c r="B35" s="363">
        <v>220</v>
      </c>
      <c r="C35" s="245" t="s">
        <v>93</v>
      </c>
      <c r="D35" s="216" t="s">
        <v>1662</v>
      </c>
      <c r="E35" s="939"/>
      <c r="F35" s="676">
        <f>IF($E$35&gt;=0,0,"F22.1&gt;=0")</f>
        <v>0</v>
      </c>
    </row>
    <row r="36" spans="1:15" s="62" customFormat="1">
      <c r="A36" s="1156" t="str">
        <f t="shared" si="0"/>
        <v>F-22.01_230</v>
      </c>
      <c r="B36" s="363">
        <v>230</v>
      </c>
      <c r="C36" s="246" t="s">
        <v>233</v>
      </c>
      <c r="D36" s="616" t="s">
        <v>688</v>
      </c>
      <c r="E36" s="856">
        <f>SUM($E$37:$E$42)</f>
        <v>0</v>
      </c>
      <c r="F36" s="676">
        <f>IF($E$36&gt;=0,0,"F22.1&gt;=0")</f>
        <v>0</v>
      </c>
    </row>
    <row r="37" spans="1:15" s="62" customFormat="1">
      <c r="A37" s="1156" t="str">
        <f t="shared" si="0"/>
        <v>F-22.01_240</v>
      </c>
      <c r="B37" s="363">
        <v>240</v>
      </c>
      <c r="C37" s="101" t="s">
        <v>234</v>
      </c>
      <c r="D37" s="115" t="s">
        <v>1652</v>
      </c>
      <c r="E37" s="922"/>
      <c r="F37" s="676">
        <f>IF($E$37&gt;=0,0,"F22.1&gt;=0")</f>
        <v>0</v>
      </c>
    </row>
    <row r="38" spans="1:15" s="62" customFormat="1">
      <c r="A38" s="1156" t="str">
        <f t="shared" si="0"/>
        <v>F-22.01_250</v>
      </c>
      <c r="B38" s="363">
        <v>250</v>
      </c>
      <c r="C38" s="151" t="s">
        <v>235</v>
      </c>
      <c r="D38" s="160" t="s">
        <v>1663</v>
      </c>
      <c r="E38" s="922"/>
      <c r="F38" s="676">
        <f>IF($E$38&gt;=0,0,"F22.1&gt;=0")</f>
        <v>0</v>
      </c>
    </row>
    <row r="39" spans="1:15" s="62" customFormat="1">
      <c r="A39" s="1156" t="str">
        <f t="shared" si="0"/>
        <v>F-22.01_260</v>
      </c>
      <c r="B39" s="363">
        <v>260</v>
      </c>
      <c r="C39" s="101" t="s">
        <v>607</v>
      </c>
      <c r="D39" s="160" t="s">
        <v>1660</v>
      </c>
      <c r="E39" s="922"/>
      <c r="F39" s="676">
        <f>IF($E$39&gt;=0,0,"F22.1&gt;=0")</f>
        <v>0</v>
      </c>
    </row>
    <row r="40" spans="1:15" s="62" customFormat="1">
      <c r="A40" s="1156" t="str">
        <f t="shared" si="0"/>
        <v>F-22.01_270</v>
      </c>
      <c r="B40" s="363">
        <v>270</v>
      </c>
      <c r="C40" s="101" t="s">
        <v>608</v>
      </c>
      <c r="D40" s="160" t="s">
        <v>1664</v>
      </c>
      <c r="E40" s="922"/>
      <c r="F40" s="676">
        <f>IF($E$40&gt;=0,0,"F22.1&gt;=0")</f>
        <v>0</v>
      </c>
    </row>
    <row r="41" spans="1:15" s="62" customFormat="1">
      <c r="A41" s="1156" t="str">
        <f t="shared" si="0"/>
        <v>F-22.01_280</v>
      </c>
      <c r="B41" s="363">
        <v>280</v>
      </c>
      <c r="C41" s="101" t="s">
        <v>609</v>
      </c>
      <c r="D41" s="160" t="s">
        <v>1664</v>
      </c>
      <c r="E41" s="922"/>
      <c r="F41" s="676">
        <f>IF($E$41&gt;=0,0,"F22.1&gt;=0")</f>
        <v>0</v>
      </c>
    </row>
    <row r="42" spans="1:15" s="62" customFormat="1">
      <c r="A42" s="1156" t="str">
        <f t="shared" si="0"/>
        <v>F-22.01_290</v>
      </c>
      <c r="B42" s="378">
        <v>290</v>
      </c>
      <c r="C42" s="152" t="s">
        <v>29</v>
      </c>
      <c r="D42" s="159" t="s">
        <v>1662</v>
      </c>
      <c r="E42" s="940"/>
      <c r="F42" s="676">
        <f>IF($E$42&gt;=0,0,"F22.1&gt;=0")</f>
        <v>0</v>
      </c>
    </row>
    <row r="43" spans="1:15" s="62" customFormat="1">
      <c r="A43" s="1100" t="s">
        <v>718</v>
      </c>
      <c r="C43" s="1455"/>
      <c r="D43" s="1455">
        <f>IF('22'!$E$14=0,0,IF('2'!$F$33='22'!$E$14,0,"F2,r200=F22,r10"))</f>
        <v>0</v>
      </c>
    </row>
    <row r="44" spans="1:15">
      <c r="A44" s="1156" t="s">
        <v>724</v>
      </c>
      <c r="B44" s="272"/>
      <c r="C44" s="1455"/>
      <c r="D44" s="1455">
        <f>IF('22'!$E$14=0,0,IF('2'!$F$34='22'!$E$36,0,"F2,r210=F22,r230"))</f>
        <v>0</v>
      </c>
    </row>
    <row r="45" spans="1:15" s="1097" customFormat="1" ht="18" hidden="1" customHeight="1">
      <c r="A45" s="1096" t="s">
        <v>1267</v>
      </c>
      <c r="B45" s="1118">
        <v>2</v>
      </c>
      <c r="C45" s="1118">
        <v>1</v>
      </c>
      <c r="D45" s="1119">
        <v>12</v>
      </c>
      <c r="E45" s="1182">
        <v>5</v>
      </c>
      <c r="F45" s="1120">
        <v>3</v>
      </c>
      <c r="G45" s="1121">
        <v>4</v>
      </c>
      <c r="H45" s="1122">
        <v>4</v>
      </c>
      <c r="I45" s="1122">
        <v>4</v>
      </c>
      <c r="J45" s="1123">
        <v>4</v>
      </c>
      <c r="K45" s="1123">
        <v>5</v>
      </c>
      <c r="L45" s="1124">
        <v>4</v>
      </c>
      <c r="M45" s="1124">
        <v>6</v>
      </c>
      <c r="N45" s="1125">
        <v>4</v>
      </c>
      <c r="O45" s="1125">
        <v>7</v>
      </c>
    </row>
    <row r="46" spans="1:15" s="1097" customFormat="1" ht="18" hidden="1" customHeight="1">
      <c r="A46" s="1096" t="str">
        <f>Index!$A$2</f>
        <v>V20181222</v>
      </c>
      <c r="B46" s="1098"/>
      <c r="C46" s="1099"/>
      <c r="D46" s="1100"/>
      <c r="E46" s="1100" t="str">
        <f>$A$45&amp;"_"&amp;E55</f>
        <v>F-22.02_010</v>
      </c>
      <c r="F46" s="1100"/>
      <c r="G46" s="1100"/>
      <c r="H46" s="1100"/>
      <c r="I46" s="1100"/>
      <c r="J46" s="1100"/>
      <c r="K46" s="1100"/>
      <c r="L46" s="1100"/>
      <c r="M46" s="1100"/>
      <c r="N46" s="1101"/>
    </row>
    <row r="47" spans="1:15" s="1097" customFormat="1" ht="18" hidden="1" customHeight="1">
      <c r="A47" s="1096" t="str">
        <f>"R:A1:P"&amp;ROW(A69)+1</f>
        <v>R:A1:P70</v>
      </c>
      <c r="B47" s="1102"/>
      <c r="C47" s="1103"/>
      <c r="D47" s="1104"/>
      <c r="E47" s="1105"/>
      <c r="F47" s="1106"/>
      <c r="G47" s="1107"/>
      <c r="H47" s="1107"/>
      <c r="I47" s="1107"/>
      <c r="J47" s="1107"/>
      <c r="K47" s="1107"/>
    </row>
    <row r="48" spans="1:15" s="1097" customFormat="1" ht="18" hidden="1" customHeight="1">
      <c r="A48" s="1096"/>
      <c r="B48" s="1102"/>
      <c r="C48" s="1103"/>
      <c r="D48" s="1108"/>
      <c r="E48" s="1109"/>
      <c r="F48" s="1110"/>
      <c r="G48" s="1111">
        <f>N49</f>
        <v>0</v>
      </c>
      <c r="H48" s="1107"/>
      <c r="I48" s="1107"/>
      <c r="J48" s="1107"/>
      <c r="K48" s="1107"/>
    </row>
    <row r="49" spans="1:14" s="1097" customFormat="1" ht="18" hidden="1" customHeight="1">
      <c r="A49" s="1096"/>
      <c r="B49" s="1102"/>
      <c r="C49" s="1103"/>
      <c r="D49" s="1112"/>
      <c r="E49" s="1113"/>
      <c r="F49" s="1114"/>
      <c r="N49" s="1097">
        <f>COUNTIF(F56:G71,"&lt;&gt;0")-COUNTBLANK(F56:G71)+COUNTIF(D72:F72,"&lt;&gt;0")-COUNTBLANK(D72:F72)</f>
        <v>0</v>
      </c>
    </row>
    <row r="50" spans="1:14">
      <c r="A50" s="1100" t="s">
        <v>718</v>
      </c>
      <c r="B50" s="272"/>
      <c r="D50" s="975"/>
    </row>
    <row r="51" spans="1:14">
      <c r="A51" s="1100" t="s">
        <v>718</v>
      </c>
      <c r="B51" s="60" t="s">
        <v>587</v>
      </c>
      <c r="D51" s="60"/>
    </row>
    <row r="52" spans="1:14">
      <c r="A52" s="1100" t="s">
        <v>718</v>
      </c>
    </row>
    <row r="53" spans="1:14" ht="52.5">
      <c r="A53" s="1100" t="s">
        <v>718</v>
      </c>
      <c r="B53" s="572"/>
      <c r="C53" s="573"/>
      <c r="D53" s="574" t="s">
        <v>551</v>
      </c>
      <c r="E53" s="575" t="s">
        <v>554</v>
      </c>
    </row>
    <row r="54" spans="1:14" ht="21">
      <c r="A54" s="1100" t="s">
        <v>718</v>
      </c>
      <c r="B54" s="576"/>
      <c r="C54" s="577"/>
      <c r="D54" s="578"/>
      <c r="E54" s="579" t="s">
        <v>1668</v>
      </c>
    </row>
    <row r="55" spans="1:14">
      <c r="A55" s="1100" t="s">
        <v>718</v>
      </c>
      <c r="B55" s="580"/>
      <c r="C55" s="581"/>
      <c r="D55" s="582"/>
      <c r="E55" s="583" t="s">
        <v>292</v>
      </c>
    </row>
    <row r="56" spans="1:14">
      <c r="A56" s="1156" t="str">
        <f>$A$45&amp;"_"&amp;B56</f>
        <v>F-22.02_010</v>
      </c>
      <c r="B56" s="430" t="s">
        <v>292</v>
      </c>
      <c r="C56" s="193" t="s">
        <v>236</v>
      </c>
      <c r="D56" s="204" t="s">
        <v>1638</v>
      </c>
      <c r="E56" s="1180">
        <f>SUM($E$57:$E$60)</f>
        <v>0</v>
      </c>
      <c r="F56" s="816">
        <f>IF($E$56&gt;=0,0,"F22.2&gt;=0")</f>
        <v>0</v>
      </c>
    </row>
    <row r="57" spans="1:14">
      <c r="A57" s="1156" t="str">
        <f t="shared" ref="A57:A71" si="1">$A$45&amp;"_"&amp;B57</f>
        <v>F-22.02_020</v>
      </c>
      <c r="B57" s="431" t="s">
        <v>293</v>
      </c>
      <c r="C57" s="147" t="s">
        <v>227</v>
      </c>
      <c r="D57" s="205"/>
      <c r="E57" s="941"/>
      <c r="F57" s="816">
        <f>IF($E$57&gt;=0,0,"F22.2&gt;=0")</f>
        <v>0</v>
      </c>
    </row>
    <row r="58" spans="1:14">
      <c r="A58" s="1156" t="str">
        <f t="shared" si="1"/>
        <v>F-22.02_030</v>
      </c>
      <c r="B58" s="431" t="s">
        <v>294</v>
      </c>
      <c r="C58" s="147" t="s">
        <v>237</v>
      </c>
      <c r="D58" s="205"/>
      <c r="E58" s="941"/>
      <c r="F58" s="816">
        <f>IF($E$58&gt;=0,0,"F22.2&gt;=0")</f>
        <v>0</v>
      </c>
    </row>
    <row r="59" spans="1:14">
      <c r="A59" s="1156" t="str">
        <f t="shared" si="1"/>
        <v>F-22.02_040</v>
      </c>
      <c r="B59" s="431" t="s">
        <v>295</v>
      </c>
      <c r="C59" s="147" t="s">
        <v>238</v>
      </c>
      <c r="D59" s="205"/>
      <c r="E59" s="941"/>
      <c r="F59" s="816">
        <f>IF($E$59&gt;=0,0,"F22.2&gt;=0")</f>
        <v>0</v>
      </c>
    </row>
    <row r="60" spans="1:14">
      <c r="A60" s="1156" t="str">
        <f t="shared" si="1"/>
        <v>F-22.02_050</v>
      </c>
      <c r="B60" s="431" t="s">
        <v>296</v>
      </c>
      <c r="C60" s="147" t="s">
        <v>239</v>
      </c>
      <c r="D60" s="205"/>
      <c r="E60" s="941"/>
      <c r="F60" s="816">
        <f>IF($E$60&gt;=0,0,"F22.2&gt;=0")</f>
        <v>0</v>
      </c>
    </row>
    <row r="61" spans="1:14">
      <c r="A61" s="1156" t="str">
        <f t="shared" si="1"/>
        <v>F-22.02_060</v>
      </c>
      <c r="B61" s="431" t="s">
        <v>297</v>
      </c>
      <c r="C61" s="148" t="s">
        <v>240</v>
      </c>
      <c r="D61" s="160" t="s">
        <v>1663</v>
      </c>
      <c r="E61" s="958">
        <f>SUM($E$62:$E$63)</f>
        <v>0</v>
      </c>
      <c r="F61" s="816">
        <f>IF($E$61&gt;=0,0,"F22.2&gt;=0")</f>
        <v>0</v>
      </c>
    </row>
    <row r="62" spans="1:14">
      <c r="A62" s="1156" t="str">
        <f t="shared" si="1"/>
        <v>F-22.02_070</v>
      </c>
      <c r="B62" s="431" t="s">
        <v>298</v>
      </c>
      <c r="C62" s="147" t="s">
        <v>227</v>
      </c>
      <c r="D62" s="205"/>
      <c r="E62" s="941"/>
      <c r="F62" s="816">
        <f>IF($E$62&gt;=0,0,"F22.2&gt;=0")</f>
        <v>0</v>
      </c>
    </row>
    <row r="63" spans="1:14">
      <c r="A63" s="1156" t="str">
        <f t="shared" si="1"/>
        <v>F-22.02_080</v>
      </c>
      <c r="B63" s="431" t="s">
        <v>299</v>
      </c>
      <c r="C63" s="147" t="s">
        <v>93</v>
      </c>
      <c r="D63" s="205"/>
      <c r="E63" s="941"/>
      <c r="F63" s="816">
        <f>IF($E$63&gt;=0,0,"F22.2&gt;=0")</f>
        <v>0</v>
      </c>
    </row>
    <row r="64" spans="1:14">
      <c r="A64" s="1156" t="str">
        <f t="shared" si="1"/>
        <v>F-22.02_090</v>
      </c>
      <c r="B64" s="431" t="s">
        <v>300</v>
      </c>
      <c r="C64" s="268" t="s">
        <v>241</v>
      </c>
      <c r="D64" s="205"/>
      <c r="E64" s="941"/>
      <c r="F64" s="816">
        <f>IF($E$64&gt;=0,0,"F22.2&gt;=0")</f>
        <v>0</v>
      </c>
    </row>
    <row r="65" spans="1:6">
      <c r="A65" s="1156" t="str">
        <f t="shared" si="1"/>
        <v>F-22.02_100</v>
      </c>
      <c r="B65" s="431" t="s">
        <v>301</v>
      </c>
      <c r="C65" s="148" t="s">
        <v>480</v>
      </c>
      <c r="D65" s="160" t="s">
        <v>1665</v>
      </c>
      <c r="E65" s="924"/>
      <c r="F65" s="816">
        <f>IF($E$65&gt;=0,0,"F22.2&gt;=0")</f>
        <v>0</v>
      </c>
    </row>
    <row r="66" spans="1:6">
      <c r="A66" s="1156" t="str">
        <f t="shared" si="1"/>
        <v>F-22.02_110</v>
      </c>
      <c r="B66" s="431" t="s">
        <v>302</v>
      </c>
      <c r="C66" s="148" t="s">
        <v>228</v>
      </c>
      <c r="D66" s="160" t="s">
        <v>1666</v>
      </c>
      <c r="E66" s="924"/>
      <c r="F66" s="816">
        <f>IF($E$66&gt;=0,0,"F22.2&gt;=0")</f>
        <v>0</v>
      </c>
    </row>
    <row r="67" spans="1:6">
      <c r="A67" s="1156" t="str">
        <f t="shared" si="1"/>
        <v>F-22.02_120</v>
      </c>
      <c r="B67" s="431" t="s">
        <v>303</v>
      </c>
      <c r="C67" s="148" t="s">
        <v>229</v>
      </c>
      <c r="D67" s="160" t="s">
        <v>1667</v>
      </c>
      <c r="E67" s="924"/>
      <c r="F67" s="816">
        <f>IF($E$67&gt;=0,0,"F22.2&gt;=0")</f>
        <v>0</v>
      </c>
    </row>
    <row r="68" spans="1:6">
      <c r="A68" s="1156" t="str">
        <f t="shared" si="1"/>
        <v>F-22.02_130</v>
      </c>
      <c r="B68" s="431">
        <v>130</v>
      </c>
      <c r="C68" s="148" t="s">
        <v>242</v>
      </c>
      <c r="D68" s="160" t="s">
        <v>1658</v>
      </c>
      <c r="E68" s="958">
        <f>SUM($E$69:$E$71)</f>
        <v>0</v>
      </c>
      <c r="F68" s="816">
        <f>IF($E$68&gt;=0,0,"F22.2&gt;=0")</f>
        <v>0</v>
      </c>
    </row>
    <row r="69" spans="1:6">
      <c r="A69" s="1156" t="str">
        <f t="shared" si="1"/>
        <v>F-22.02_140</v>
      </c>
      <c r="B69" s="431">
        <v>140</v>
      </c>
      <c r="C69" s="147" t="s">
        <v>227</v>
      </c>
      <c r="D69" s="205"/>
      <c r="E69" s="941"/>
      <c r="F69" s="816">
        <f>IF($E$69&gt;=0,0,"F22.2&gt;=0")</f>
        <v>0</v>
      </c>
    </row>
    <row r="70" spans="1:6">
      <c r="A70" s="1156" t="str">
        <f t="shared" si="1"/>
        <v>F-22.02_150</v>
      </c>
      <c r="B70" s="431">
        <v>150</v>
      </c>
      <c r="C70" s="147" t="s">
        <v>231</v>
      </c>
      <c r="D70" s="205"/>
      <c r="E70" s="941"/>
      <c r="F70" s="816">
        <f>IF($E$70&gt;=0,0,"F22.2&gt;=0")</f>
        <v>0</v>
      </c>
    </row>
    <row r="71" spans="1:6">
      <c r="A71" s="1156" t="str">
        <f t="shared" si="1"/>
        <v>F-22.02_160</v>
      </c>
      <c r="B71" s="482">
        <v>160</v>
      </c>
      <c r="C71" s="149" t="s">
        <v>93</v>
      </c>
      <c r="D71" s="206"/>
      <c r="E71" s="942"/>
      <c r="F71" s="816">
        <f>IF($E$71&gt;=0,0,"F22.2&gt;=0")</f>
        <v>0</v>
      </c>
    </row>
    <row r="72" spans="1:6">
      <c r="A72" s="1100" t="s">
        <v>718</v>
      </c>
      <c r="C72" s="150"/>
      <c r="D72" s="150"/>
      <c r="E72" s="676">
        <f>IF($E$61&gt;=+$E$64,0,"r60&gt;=r90")</f>
        <v>0</v>
      </c>
    </row>
    <row r="73" spans="1:6">
      <c r="A73" s="1156" t="s">
        <v>724</v>
      </c>
      <c r="C73" s="150"/>
      <c r="D73" s="150"/>
    </row>
    <row r="74" spans="1:6">
      <c r="A74" s="1096"/>
      <c r="C74" s="112"/>
      <c r="D74" s="112"/>
      <c r="E74" s="112"/>
    </row>
    <row r="75" spans="1:6">
      <c r="A75" s="1096"/>
      <c r="C75" s="112"/>
      <c r="D75" s="112"/>
      <c r="E75" s="112"/>
    </row>
    <row r="76" spans="1:6">
      <c r="A76" s="1096"/>
      <c r="C76" s="112"/>
      <c r="D76" s="112"/>
      <c r="E76" s="112"/>
    </row>
    <row r="77" spans="1:6">
      <c r="A77" s="1096"/>
      <c r="C77" s="112"/>
      <c r="D77" s="112"/>
      <c r="E77" s="112"/>
    </row>
    <row r="78" spans="1:6">
      <c r="A78" s="1100"/>
      <c r="C78" s="112"/>
      <c r="D78" s="112"/>
      <c r="E78" s="112"/>
    </row>
    <row r="79" spans="1:6">
      <c r="A79" s="1100"/>
      <c r="C79" s="112"/>
      <c r="D79" s="112"/>
      <c r="E79" s="112"/>
    </row>
    <row r="80" spans="1:6">
      <c r="A80" s="1100"/>
      <c r="C80" s="112"/>
      <c r="D80" s="112"/>
      <c r="E80" s="112"/>
    </row>
    <row r="81" spans="1:5">
      <c r="A81" s="1100"/>
      <c r="C81" s="112"/>
      <c r="D81" s="112"/>
      <c r="E81" s="112"/>
    </row>
    <row r="82" spans="1:5" ht="12.75" customHeight="1">
      <c r="A82" s="1100"/>
      <c r="C82" s="112"/>
      <c r="D82" s="112"/>
      <c r="E82" s="112"/>
    </row>
    <row r="83" spans="1:5">
      <c r="A83" s="1100"/>
      <c r="C83" s="112"/>
      <c r="D83" s="112"/>
      <c r="E83" s="112"/>
    </row>
    <row r="84" spans="1:5">
      <c r="A84" s="1100"/>
      <c r="C84" s="112"/>
      <c r="D84" s="112"/>
      <c r="E84" s="112"/>
    </row>
    <row r="85" spans="1:5">
      <c r="A85" s="1100"/>
      <c r="C85" s="112"/>
      <c r="D85" s="112"/>
      <c r="E85" s="112"/>
    </row>
    <row r="86" spans="1:5">
      <c r="C86" s="112"/>
      <c r="D86" s="112"/>
      <c r="E86" s="112"/>
    </row>
    <row r="87" spans="1:5">
      <c r="C87" s="112"/>
      <c r="D87" s="112"/>
      <c r="E87" s="112"/>
    </row>
    <row r="88" spans="1:5">
      <c r="C88" s="112"/>
      <c r="D88" s="112"/>
      <c r="E88" s="112"/>
    </row>
    <row r="89" spans="1:5">
      <c r="C89" s="112"/>
      <c r="D89" s="112"/>
      <c r="E89" s="112"/>
    </row>
    <row r="90" spans="1:5">
      <c r="C90" s="112"/>
      <c r="D90" s="112"/>
      <c r="E90" s="112"/>
    </row>
    <row r="91" spans="1:5">
      <c r="C91" s="112"/>
      <c r="D91" s="112"/>
      <c r="E91" s="112"/>
    </row>
    <row r="92" spans="1:5">
      <c r="C92" s="112"/>
      <c r="D92" s="112"/>
      <c r="E92" s="112"/>
    </row>
    <row r="93" spans="1:5">
      <c r="C93" s="112"/>
      <c r="D93" s="112"/>
      <c r="E93" s="112"/>
    </row>
    <row r="94" spans="1:5">
      <c r="C94" s="112"/>
      <c r="D94" s="112"/>
      <c r="E94" s="112"/>
    </row>
    <row r="95" spans="1:5">
      <c r="C95" s="112"/>
      <c r="D95" s="112"/>
      <c r="E95" s="112"/>
    </row>
    <row r="96" spans="1:5">
      <c r="C96" s="112"/>
      <c r="D96" s="112"/>
      <c r="E96" s="112"/>
    </row>
    <row r="97" spans="1:5">
      <c r="C97" s="112"/>
      <c r="D97" s="112"/>
      <c r="E97" s="112"/>
    </row>
    <row r="98" spans="1:5">
      <c r="C98" s="112"/>
      <c r="D98" s="112"/>
      <c r="E98" s="112"/>
    </row>
    <row r="99" spans="1:5">
      <c r="C99" s="112"/>
      <c r="D99" s="112"/>
      <c r="E99" s="112"/>
    </row>
    <row r="105" spans="1:5">
      <c r="A105" s="1100"/>
    </row>
    <row r="110" spans="1:5">
      <c r="A110" s="1100"/>
    </row>
    <row r="112" spans="1:5">
      <c r="A112" s="1100"/>
    </row>
    <row r="118" spans="1:1">
      <c r="A118" s="1100"/>
    </row>
    <row r="120" spans="1:1">
      <c r="A120" s="1096"/>
    </row>
    <row r="121" spans="1:1">
      <c r="A121" s="1096"/>
    </row>
    <row r="122" spans="1:1">
      <c r="A122" s="1096"/>
    </row>
    <row r="123" spans="1:1">
      <c r="A123" s="1100"/>
    </row>
    <row r="124" spans="1:1">
      <c r="A124" s="1100"/>
    </row>
    <row r="125" spans="1:1">
      <c r="A125" s="1100"/>
    </row>
    <row r="126" spans="1:1">
      <c r="A126" s="1100"/>
    </row>
    <row r="127" spans="1:1">
      <c r="A127" s="1100"/>
    </row>
    <row r="128" spans="1:1">
      <c r="A128" s="1100"/>
    </row>
    <row r="129" spans="1:1">
      <c r="A129" s="1100"/>
    </row>
  </sheetData>
  <sheetProtection password="C2F4" sheet="1" objects="1" scenarios="1"/>
  <mergeCells count="1">
    <mergeCell ref="D11:D12"/>
  </mergeCells>
  <dataValidations count="1">
    <dataValidation type="whole" allowBlank="1" showInputMessage="1" showErrorMessage="1" error="Wrong number format or sign" sqref="E14:E42 E56:E71">
      <formula1>0</formula1>
      <formula2>99999999</formula2>
    </dataValidation>
  </dataValidations>
  <printOptions horizontalCentered="1" headings="1" gridLines="1"/>
  <pageMargins left="0.23622047244094491" right="0.23622047244094491" top="0.26" bottom="0.26" header="0.17" footer="0.17"/>
  <pageSetup paperSize="9" scale="60" orientation="landscape" cellComments="asDisplayed" r:id="rId1"/>
  <headerFooter scaleWithDoc="0" alignWithMargins="0"/>
  <ignoredErrors>
    <ignoredError sqref="B14:B42 E55 B56:B71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0" tint="-0.499984740745262"/>
    <pageSetUpPr fitToPage="1"/>
  </sheetPr>
  <dimension ref="A1:O51"/>
  <sheetViews>
    <sheetView topLeftCell="B6" zoomScaleNormal="100" zoomScaleSheetLayoutView="100" workbookViewId="0">
      <selection activeCell="B6" sqref="B6"/>
    </sheetView>
  </sheetViews>
  <sheetFormatPr defaultColWidth="11.5703125" defaultRowHeight="12.75"/>
  <cols>
    <col min="1" max="1" width="13.5703125" style="1156" hidden="1" customWidth="1"/>
    <col min="2" max="2" width="5.42578125" style="1233" customWidth="1"/>
    <col min="3" max="3" width="38.42578125" style="1233" customWidth="1"/>
    <col min="4" max="4" width="27.85546875" style="1233" bestFit="1" customWidth="1"/>
    <col min="5" max="5" width="15.7109375" style="1233" customWidth="1"/>
    <col min="6" max="6" width="16.28515625" style="1233" customWidth="1"/>
    <col min="7" max="7" width="14.7109375" style="1233" customWidth="1"/>
    <col min="8" max="8" width="16.42578125" style="1233" customWidth="1"/>
    <col min="9" max="10" width="16.85546875" style="1233" bestFit="1" customWidth="1"/>
    <col min="11" max="11" width="14.7109375" style="1233" customWidth="1"/>
    <col min="12" max="16384" width="11.5703125" style="1233"/>
  </cols>
  <sheetData>
    <row r="1" spans="1:15" s="1097" customFormat="1" ht="18" hidden="1" customHeight="1">
      <c r="A1" s="1096" t="s">
        <v>1527</v>
      </c>
      <c r="B1" s="1118">
        <v>2</v>
      </c>
      <c r="C1" s="1118">
        <v>1</v>
      </c>
      <c r="D1" s="1119">
        <v>14</v>
      </c>
      <c r="E1" s="1182">
        <v>5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15" s="1097" customFormat="1" ht="18" hidden="1" customHeight="1">
      <c r="A2" s="1096" t="str">
        <f>Index!$A$2</f>
        <v>V20181222</v>
      </c>
      <c r="B2" s="1098"/>
      <c r="C2" s="1099"/>
      <c r="D2" s="1100"/>
      <c r="E2" s="1100" t="str">
        <f>$A$1&amp;"_"&amp;E13</f>
        <v>F-30.01_010</v>
      </c>
      <c r="F2" s="1100" t="str">
        <f t="shared" ref="F2:K2" si="0">$A$1&amp;"_"&amp;F13</f>
        <v>F-30.01_020</v>
      </c>
      <c r="G2" s="1100" t="str">
        <f t="shared" si="0"/>
        <v>F-30.01_030</v>
      </c>
      <c r="H2" s="1100" t="str">
        <f t="shared" si="0"/>
        <v>F-30.01_040</v>
      </c>
      <c r="I2" s="1100" t="str">
        <f t="shared" si="0"/>
        <v>F-30.01_050</v>
      </c>
      <c r="J2" s="1100" t="str">
        <f t="shared" si="0"/>
        <v>F-30.01_060</v>
      </c>
      <c r="K2" s="1100" t="str">
        <f t="shared" si="0"/>
        <v>F-30.01_080</v>
      </c>
      <c r="L2" s="1100"/>
      <c r="M2" s="1100"/>
      <c r="N2" s="1101"/>
    </row>
    <row r="3" spans="1:15" s="1097" customFormat="1" ht="18" hidden="1" customHeight="1">
      <c r="A3" s="1096" t="str">
        <f>"R:A1:AB"&amp;ROW(A200)+1</f>
        <v>R:A1:AB201</v>
      </c>
      <c r="B3" s="1102"/>
      <c r="C3" s="1103"/>
      <c r="D3" s="1104"/>
      <c r="E3" s="1105"/>
      <c r="F3" s="1106"/>
      <c r="G3" s="1107"/>
      <c r="H3" s="1107"/>
      <c r="I3" s="1107"/>
      <c r="J3" s="1107"/>
      <c r="K3" s="1107"/>
    </row>
    <row r="4" spans="1:15" s="1097" customFormat="1" ht="18" hidden="1" customHeight="1">
      <c r="A4" s="1096"/>
      <c r="B4" s="1102"/>
      <c r="C4" s="1103"/>
      <c r="D4" s="1108"/>
      <c r="E4" s="1109"/>
      <c r="F4" s="1110"/>
      <c r="G4" s="1111">
        <f>N5</f>
        <v>0</v>
      </c>
      <c r="H4" s="1107"/>
      <c r="I4" s="1107"/>
      <c r="J4" s="1107"/>
      <c r="K4" s="1107"/>
    </row>
    <row r="5" spans="1:15" s="1097" customFormat="1" ht="18" hidden="1" customHeight="1">
      <c r="A5" s="1096"/>
      <c r="B5" s="1102"/>
      <c r="C5" s="1103"/>
      <c r="D5" s="1112"/>
      <c r="E5" s="1113"/>
      <c r="F5" s="1114"/>
      <c r="N5" s="1097">
        <f>COUNTIF(E15:K17,"&lt;&gt;0")-COUNTBLANK(E15:K17)</f>
        <v>0</v>
      </c>
    </row>
    <row r="6" spans="1:15" s="1116" customFormat="1">
      <c r="A6" s="1100" t="s">
        <v>718</v>
      </c>
      <c r="B6" s="1115"/>
    </row>
    <row r="7" spans="1:15">
      <c r="A7" s="1100" t="s">
        <v>718</v>
      </c>
      <c r="B7" s="272" t="s">
        <v>1269</v>
      </c>
      <c r="C7" s="1230"/>
      <c r="D7" s="1231"/>
      <c r="E7" s="158"/>
      <c r="F7" s="158"/>
      <c r="G7" s="1232"/>
      <c r="H7" s="1232"/>
      <c r="I7" s="1232"/>
      <c r="J7" s="1232"/>
      <c r="K7" s="1232"/>
    </row>
    <row r="8" spans="1:15">
      <c r="A8" s="1100" t="s">
        <v>718</v>
      </c>
      <c r="B8" s="272"/>
      <c r="C8" s="1230"/>
      <c r="D8" s="1231"/>
      <c r="E8" s="158"/>
      <c r="F8" s="158"/>
      <c r="G8" s="1232"/>
      <c r="H8" s="1232"/>
      <c r="I8" s="1232"/>
      <c r="J8" s="1232"/>
      <c r="K8" s="1232"/>
    </row>
    <row r="9" spans="1:15">
      <c r="A9" s="1100" t="s">
        <v>718</v>
      </c>
      <c r="B9" s="272" t="s">
        <v>1270</v>
      </c>
      <c r="C9" s="1230"/>
      <c r="D9" s="1234"/>
      <c r="E9" s="158" t="str">
        <f>IF(SUM($E$14:$K$14)+SUM($E$30:$G$43)&lt;&gt;0,"Y","N")</f>
        <v>N</v>
      </c>
      <c r="F9" s="158"/>
      <c r="G9" s="1232"/>
      <c r="H9" s="1232"/>
      <c r="I9" s="1232"/>
      <c r="J9" s="1232"/>
      <c r="K9" s="1232"/>
    </row>
    <row r="10" spans="1:15">
      <c r="A10" s="1100" t="s">
        <v>718</v>
      </c>
      <c r="B10" s="1230"/>
      <c r="C10" s="1230"/>
      <c r="D10" s="1230"/>
      <c r="E10" s="1230"/>
      <c r="F10" s="1230"/>
      <c r="G10" s="1230"/>
      <c r="H10" s="1230"/>
      <c r="I10" s="1230"/>
      <c r="J10" s="1230"/>
      <c r="K10" s="1230"/>
    </row>
    <row r="11" spans="1:15" ht="129.75" customHeight="1">
      <c r="A11" s="1100" t="s">
        <v>718</v>
      </c>
      <c r="B11" s="1235"/>
      <c r="C11" s="1236"/>
      <c r="D11" s="1237"/>
      <c r="E11" s="1237" t="s">
        <v>1271</v>
      </c>
      <c r="F11" s="1237" t="s">
        <v>1272</v>
      </c>
      <c r="G11" s="1237" t="s">
        <v>1273</v>
      </c>
      <c r="H11" s="1237" t="s">
        <v>1274</v>
      </c>
      <c r="I11" s="1237" t="s">
        <v>1637</v>
      </c>
      <c r="J11" s="1237" t="s">
        <v>1275</v>
      </c>
      <c r="K11" s="1237" t="s">
        <v>1276</v>
      </c>
    </row>
    <row r="12" spans="1:15" ht="40.5" customHeight="1">
      <c r="A12" s="1100" t="s">
        <v>718</v>
      </c>
      <c r="B12" s="1238"/>
      <c r="C12" s="1239"/>
      <c r="D12" s="1240" t="s">
        <v>551</v>
      </c>
      <c r="E12" s="1241" t="s">
        <v>1277</v>
      </c>
      <c r="F12" s="1241" t="s">
        <v>1635</v>
      </c>
      <c r="G12" s="1241"/>
      <c r="H12" s="1241" t="s">
        <v>1277</v>
      </c>
      <c r="I12" s="1241" t="s">
        <v>1278</v>
      </c>
      <c r="J12" s="1241"/>
      <c r="K12" s="1241" t="s">
        <v>1636</v>
      </c>
    </row>
    <row r="13" spans="1:15">
      <c r="B13" s="1242"/>
      <c r="C13" s="1243"/>
      <c r="D13" s="1244"/>
      <c r="E13" s="1245" t="s">
        <v>292</v>
      </c>
      <c r="F13" s="1245" t="s">
        <v>293</v>
      </c>
      <c r="G13" s="1245" t="s">
        <v>294</v>
      </c>
      <c r="H13" s="1245" t="s">
        <v>295</v>
      </c>
      <c r="I13" s="1245" t="s">
        <v>296</v>
      </c>
      <c r="J13" s="1245" t="s">
        <v>297</v>
      </c>
      <c r="K13" s="1757" t="s">
        <v>2249</v>
      </c>
    </row>
    <row r="14" spans="1:15">
      <c r="A14" s="1156" t="str">
        <f>$A$1&amp;"_"&amp;B14</f>
        <v>F-30.01_010</v>
      </c>
      <c r="B14" s="1246" t="s">
        <v>292</v>
      </c>
      <c r="C14" s="1247" t="s">
        <v>82</v>
      </c>
      <c r="D14" s="1248"/>
      <c r="E14" s="1861"/>
      <c r="F14" s="1862"/>
      <c r="G14" s="1863"/>
      <c r="H14" s="1864"/>
      <c r="I14" s="1862"/>
      <c r="J14" s="1864"/>
      <c r="K14" s="1863"/>
    </row>
    <row r="15" spans="1:15" ht="32.25" customHeight="1">
      <c r="A15" s="1100" t="s">
        <v>718</v>
      </c>
      <c r="E15" s="1457">
        <f>IF($E$14&gt;=SUM($E$30:$G$30),0,"(F30.1,r10,c10)&gt;=sum(F30.2,r10,c10-30)")</f>
        <v>0</v>
      </c>
      <c r="F15" s="1249"/>
      <c r="G15" s="1457">
        <f>IF($F$14&lt;&gt;0, IF($G$14 &lt;&gt;0,0,"If c20&lt;&gt;0 then c30&lt;&gt;0"),0)</f>
        <v>0</v>
      </c>
      <c r="H15" s="1458">
        <f>IF($H$14&gt;=SUM($E$38:$G$40),0,"(F30.1,r10,c40)&gt;=sum(F30.2,r90-110,c10-30)")</f>
        <v>0</v>
      </c>
      <c r="I15" s="1251"/>
      <c r="J15" s="1251"/>
      <c r="K15" s="1252"/>
    </row>
    <row r="16" spans="1:15" ht="20.25" customHeight="1">
      <c r="A16" s="1100" t="s">
        <v>718</v>
      </c>
      <c r="D16" s="1252"/>
      <c r="E16" s="1250">
        <f>IF($E$14&gt;=$F$14,0,"c10&gt;=c20")</f>
        <v>0</v>
      </c>
      <c r="F16" s="1252"/>
      <c r="G16" s="1252"/>
      <c r="H16" s="1252"/>
      <c r="I16" s="1250">
        <f>IF($I$14&gt;=$J$14,0,"c50&gt;=c60")</f>
        <v>0</v>
      </c>
      <c r="J16" s="1252"/>
      <c r="K16" s="1252"/>
    </row>
    <row r="17" spans="1:15">
      <c r="A17" s="1156" t="s">
        <v>724</v>
      </c>
      <c r="C17" s="1230"/>
      <c r="D17" s="1252"/>
      <c r="E17" s="1250">
        <f>IF($E$14&gt;=0,0,"F30.1&gt;=0")</f>
        <v>0</v>
      </c>
      <c r="F17" s="1250">
        <f>IF($F$14&gt;=0,0,"F30.1&gt;=0")</f>
        <v>0</v>
      </c>
      <c r="G17" s="1250">
        <f>IF($G$14&gt;=0,0,"F30.1&gt;=0")</f>
        <v>0</v>
      </c>
      <c r="H17" s="1250">
        <f>IF($H$14&gt;=0,0,"F30.1&gt;=0")</f>
        <v>0</v>
      </c>
      <c r="I17" s="1250">
        <f>IF($I$14&gt;=0,0,"F30.1&gt;=0")</f>
        <v>0</v>
      </c>
      <c r="J17" s="1250">
        <f>IF($J$14&gt;=0,0,"F30.1&gt;=0")</f>
        <v>0</v>
      </c>
      <c r="K17" s="1250">
        <f>IF($K$14&lt;=0,0,"F30.1&lt;=0")</f>
        <v>0</v>
      </c>
    </row>
    <row r="18" spans="1:15" s="1097" customFormat="1" ht="18" hidden="1" customHeight="1">
      <c r="A18" s="1096" t="s">
        <v>1528</v>
      </c>
      <c r="B18" s="1118">
        <v>2</v>
      </c>
      <c r="C18" s="1118">
        <v>1</v>
      </c>
      <c r="D18" s="1119">
        <v>13</v>
      </c>
      <c r="E18" s="1182">
        <v>5</v>
      </c>
      <c r="F18" s="1120">
        <v>3</v>
      </c>
      <c r="G18" s="1121">
        <v>4</v>
      </c>
      <c r="H18" s="1122">
        <v>4</v>
      </c>
      <c r="I18" s="1122">
        <v>4</v>
      </c>
      <c r="J18" s="1123">
        <v>4</v>
      </c>
      <c r="K18" s="1123">
        <v>5</v>
      </c>
      <c r="L18" s="1124">
        <v>4</v>
      </c>
      <c r="M18" s="1124">
        <v>6</v>
      </c>
      <c r="N18" s="1125">
        <v>4</v>
      </c>
      <c r="O18" s="1125">
        <v>7</v>
      </c>
    </row>
    <row r="19" spans="1:15" s="1097" customFormat="1" ht="18" hidden="1" customHeight="1">
      <c r="A19" s="1096" t="str">
        <f>Index!$A$2</f>
        <v>V20181222</v>
      </c>
      <c r="B19" s="1098"/>
      <c r="C19" s="1099"/>
      <c r="D19" s="1100"/>
      <c r="E19" s="1100" t="str">
        <f>$A$18&amp;"_"&amp;E29</f>
        <v>F-30.02_010</v>
      </c>
      <c r="F19" s="1100" t="str">
        <f>$A$18&amp;"_"&amp;F29</f>
        <v>F-30.02_020</v>
      </c>
      <c r="G19" s="1100" t="str">
        <f>$A$18&amp;"_"&amp;G29</f>
        <v>F-30.02_030</v>
      </c>
      <c r="H19" s="1100"/>
      <c r="I19" s="1100"/>
      <c r="J19" s="1100"/>
      <c r="K19" s="1100"/>
      <c r="L19" s="1100"/>
      <c r="M19" s="1100"/>
      <c r="N19" s="1101"/>
    </row>
    <row r="20" spans="1:15" s="1097" customFormat="1" ht="18" hidden="1" customHeight="1">
      <c r="A20" s="1096" t="str">
        <f>"R:A1:P"&amp;ROW(A52)+1</f>
        <v>R:A1:P53</v>
      </c>
      <c r="B20" s="1102"/>
      <c r="C20" s="1103"/>
      <c r="D20" s="1104"/>
      <c r="E20" s="1105"/>
      <c r="F20" s="1106"/>
      <c r="G20" s="1107"/>
      <c r="H20" s="1107"/>
      <c r="I20" s="1107"/>
      <c r="J20" s="1107"/>
      <c r="K20" s="1107"/>
    </row>
    <row r="21" spans="1:15" s="1097" customFormat="1" ht="18" hidden="1" customHeight="1">
      <c r="A21" s="1100" t="s">
        <v>718</v>
      </c>
      <c r="B21" s="1102"/>
      <c r="C21" s="1103"/>
      <c r="D21" s="1108"/>
      <c r="E21" s="1109"/>
      <c r="F21" s="1110"/>
      <c r="G21" s="1111">
        <f>N22</f>
        <v>0</v>
      </c>
      <c r="H21" s="1107"/>
      <c r="I21" s="1107"/>
      <c r="J21" s="1107"/>
      <c r="K21" s="1107"/>
    </row>
    <row r="22" spans="1:15" s="1097" customFormat="1" ht="18" hidden="1" customHeight="1">
      <c r="A22" s="1100" t="s">
        <v>718</v>
      </c>
      <c r="B22" s="1102"/>
      <c r="C22" s="1103"/>
      <c r="D22" s="1112"/>
      <c r="E22" s="1113"/>
      <c r="F22" s="1114"/>
      <c r="N22" s="1097">
        <f>COUNTIF(H26:K43,"&lt;&gt;0")-COUNTBLANK(H26:K43)+COUNTIF(E44:G50,"&lt;&gt;0")-COUNTBLANK(E44:G50)</f>
        <v>0</v>
      </c>
    </row>
    <row r="23" spans="1:15" s="1116" customFormat="1">
      <c r="A23" s="1100" t="s">
        <v>718</v>
      </c>
      <c r="B23" s="1115"/>
    </row>
    <row r="24" spans="1:15">
      <c r="A24" s="1100" t="s">
        <v>718</v>
      </c>
      <c r="B24" s="272" t="s">
        <v>1279</v>
      </c>
      <c r="C24" s="1230"/>
      <c r="D24" s="1252"/>
      <c r="E24" s="1250"/>
      <c r="F24" s="1250"/>
      <c r="G24" s="1250"/>
      <c r="H24" s="1250"/>
      <c r="I24" s="1250"/>
      <c r="J24" s="1250"/>
      <c r="K24" s="1250"/>
    </row>
    <row r="25" spans="1:15">
      <c r="A25" s="1100" t="s">
        <v>718</v>
      </c>
      <c r="B25" s="1230"/>
      <c r="C25" s="1230"/>
      <c r="D25" s="1230"/>
      <c r="E25" s="1230"/>
      <c r="F25" s="1230"/>
      <c r="G25" s="1230"/>
      <c r="H25" s="1230"/>
      <c r="I25" s="1230"/>
      <c r="J25" s="1230"/>
      <c r="K25" s="1230"/>
    </row>
    <row r="26" spans="1:15">
      <c r="A26" s="1100" t="s">
        <v>718</v>
      </c>
      <c r="B26" s="1253"/>
      <c r="C26" s="2124" t="s">
        <v>1280</v>
      </c>
      <c r="D26" s="1992" t="s">
        <v>551</v>
      </c>
      <c r="E26" s="2127" t="s">
        <v>1639</v>
      </c>
      <c r="F26" s="2122"/>
      <c r="G26" s="2123"/>
      <c r="H26" s="2126"/>
      <c r="I26" s="2126"/>
      <c r="J26" s="2126"/>
      <c r="K26" s="2126"/>
    </row>
    <row r="27" spans="1:15" ht="42">
      <c r="A27" s="1100" t="s">
        <v>718</v>
      </c>
      <c r="B27" s="1254"/>
      <c r="C27" s="2125"/>
      <c r="D27" s="1993"/>
      <c r="E27" s="1490" t="s">
        <v>1281</v>
      </c>
      <c r="F27" s="613" t="s">
        <v>225</v>
      </c>
      <c r="G27" s="1479" t="s">
        <v>1282</v>
      </c>
      <c r="H27" s="2121"/>
      <c r="I27" s="2121"/>
      <c r="J27" s="2121"/>
      <c r="K27" s="2121"/>
    </row>
    <row r="28" spans="1:15" ht="21">
      <c r="A28" s="1100" t="s">
        <v>718</v>
      </c>
      <c r="B28" s="1254"/>
      <c r="C28" s="1255"/>
      <c r="D28" s="1994"/>
      <c r="E28" s="584" t="s">
        <v>1283</v>
      </c>
      <c r="F28" s="584" t="s">
        <v>1638</v>
      </c>
      <c r="G28" s="1501"/>
      <c r="H28" s="2121"/>
      <c r="I28" s="2121"/>
      <c r="J28" s="2121"/>
      <c r="K28" s="2121"/>
    </row>
    <row r="29" spans="1:15">
      <c r="A29" s="1100" t="s">
        <v>718</v>
      </c>
      <c r="B29" s="1242"/>
      <c r="C29" s="1256"/>
      <c r="D29" s="496" t="s">
        <v>1284</v>
      </c>
      <c r="E29" s="1245" t="s">
        <v>292</v>
      </c>
      <c r="F29" s="1245" t="s">
        <v>293</v>
      </c>
      <c r="G29" s="1245" t="s">
        <v>294</v>
      </c>
      <c r="H29" s="2121"/>
      <c r="I29" s="2121"/>
      <c r="J29" s="2121"/>
      <c r="K29" s="2121"/>
    </row>
    <row r="30" spans="1:15" s="1260" customFormat="1" ht="31.5">
      <c r="A30" s="1156" t="str">
        <f>$A$18&amp;"_"&amp;B30</f>
        <v>F-30.02_010</v>
      </c>
      <c r="B30" s="1257" t="s">
        <v>292</v>
      </c>
      <c r="C30" s="1258" t="s">
        <v>1285</v>
      </c>
      <c r="D30" s="263" t="s">
        <v>1286</v>
      </c>
      <c r="E30" s="1865"/>
      <c r="F30" s="1865"/>
      <c r="G30" s="1865"/>
      <c r="H30" s="1250">
        <f>IF($E$30&gt;=0,0,"F30.2,c10,r10&gt;=0")</f>
        <v>0</v>
      </c>
      <c r="I30" s="1250">
        <f>IF($F$30&gt;=0,0,"F30.2,c20,r10&gt;=0")</f>
        <v>0</v>
      </c>
      <c r="J30" s="1250">
        <f>IF($G$30&gt;=0,0,"F30.2,c30,r10&gt;=0")</f>
        <v>0</v>
      </c>
      <c r="K30" s="1259"/>
    </row>
    <row r="31" spans="1:15" s="1260" customFormat="1">
      <c r="A31" s="1156" t="str">
        <f t="shared" ref="A31:A43" si="1">$A$18&amp;"_"&amp;B31</f>
        <v>F-30.02_021</v>
      </c>
      <c r="B31" s="1261" t="s">
        <v>697</v>
      </c>
      <c r="C31" s="36" t="s">
        <v>696</v>
      </c>
      <c r="D31" s="115" t="s">
        <v>1640</v>
      </c>
      <c r="E31" s="1866"/>
      <c r="F31" s="1866"/>
      <c r="G31" s="1867"/>
      <c r="H31" s="1250">
        <f>IF($E$31&gt;=0,0,"F30.2,c10,r21&gt;=0")</f>
        <v>0</v>
      </c>
      <c r="I31" s="1250">
        <f>IF($F$31&gt;=0,0,"F30.2,c20,r21&gt;=0")</f>
        <v>0</v>
      </c>
      <c r="J31" s="1250">
        <f>IF($G$31&gt;=0,0,"F30.2,c30,r21&gt;=0")</f>
        <v>0</v>
      </c>
      <c r="K31" s="1259"/>
    </row>
    <row r="32" spans="1:15" s="1260" customFormat="1" ht="21">
      <c r="A32" s="1156" t="str">
        <f t="shared" si="1"/>
        <v>F-30.02_030</v>
      </c>
      <c r="B32" s="1262" t="s">
        <v>294</v>
      </c>
      <c r="C32" s="1263" t="s">
        <v>121</v>
      </c>
      <c r="D32" s="275" t="s">
        <v>1641</v>
      </c>
      <c r="E32" s="1868"/>
      <c r="F32" s="1868"/>
      <c r="G32" s="1868"/>
      <c r="H32" s="1250">
        <f>IF($E$32&gt;=0,0,"F30.2,c10,r30&gt;=0")</f>
        <v>0</v>
      </c>
      <c r="I32" s="1250">
        <f>IF($F$32&gt;=0,0,"F30.2,c20,r30&gt;=0")</f>
        <v>0</v>
      </c>
      <c r="J32" s="1250">
        <f>IF($G$32&gt;=0,0,"F30.2,c30,r30&gt;=0")</f>
        <v>0</v>
      </c>
      <c r="K32" s="1259"/>
    </row>
    <row r="33" spans="1:11" s="1260" customFormat="1">
      <c r="A33" s="1156" t="str">
        <f t="shared" si="1"/>
        <v>F-30.02_040</v>
      </c>
      <c r="B33" s="1264" t="s">
        <v>295</v>
      </c>
      <c r="C33" s="1263" t="s">
        <v>59</v>
      </c>
      <c r="D33" s="204" t="s">
        <v>60</v>
      </c>
      <c r="E33" s="1868"/>
      <c r="F33" s="1868"/>
      <c r="G33" s="1868"/>
      <c r="H33" s="1250">
        <f>IF($E$33&gt;=0,0,"F30.2,c10,r40&gt;=0")</f>
        <v>0</v>
      </c>
      <c r="I33" s="1250">
        <f>IF($F$33&gt;=0,0,"F30.2,c20,r40&gt;=0")</f>
        <v>0</v>
      </c>
      <c r="J33" s="1250">
        <f>IF($G$33&gt;=0,0,"F30.2,c30,r40&gt;=0")</f>
        <v>0</v>
      </c>
      <c r="K33" s="1259"/>
    </row>
    <row r="34" spans="1:11" s="1260" customFormat="1">
      <c r="A34" s="1156" t="str">
        <f t="shared" si="1"/>
        <v>F-30.02_050</v>
      </c>
      <c r="B34" s="1264" t="s">
        <v>296</v>
      </c>
      <c r="C34" s="212" t="s">
        <v>55</v>
      </c>
      <c r="D34" s="14" t="s">
        <v>595</v>
      </c>
      <c r="E34" s="1866"/>
      <c r="F34" s="1866"/>
      <c r="G34" s="1866"/>
      <c r="H34" s="1250">
        <f>IF($E$34&gt;=0,0,"F30.2,c10,r50&gt;=0")</f>
        <v>0</v>
      </c>
      <c r="I34" s="1250">
        <f>IF($F$34&gt;=0,0,"F30.2,c20,r50&gt;=0")</f>
        <v>0</v>
      </c>
      <c r="J34" s="1250">
        <f>IF($G$34&gt;=0,0,"F30.2,c30,r50&gt;=0")</f>
        <v>0</v>
      </c>
      <c r="K34" s="1259"/>
    </row>
    <row r="35" spans="1:11" s="1260" customFormat="1">
      <c r="A35" s="1156" t="str">
        <f t="shared" si="1"/>
        <v>F-30.02_060</v>
      </c>
      <c r="B35" s="1265" t="s">
        <v>297</v>
      </c>
      <c r="C35" s="212" t="s">
        <v>61</v>
      </c>
      <c r="D35" s="14" t="s">
        <v>1576</v>
      </c>
      <c r="E35" s="1866"/>
      <c r="F35" s="1866"/>
      <c r="G35" s="1866"/>
      <c r="H35" s="1250">
        <f>IF($E$35&gt;=0,0,"F30.2,c10,r60&gt;=0")</f>
        <v>0</v>
      </c>
      <c r="I35" s="1250">
        <f>IF($F$35&gt;=0,0,"F30.2,c20,r60&gt;=0")</f>
        <v>0</v>
      </c>
      <c r="J35" s="1250">
        <f>IF($G$35&gt;=0,0,"F30.2,c30,r60&gt;=0")</f>
        <v>0</v>
      </c>
      <c r="K35" s="1259"/>
    </row>
    <row r="36" spans="1:11" s="1260" customFormat="1" ht="35.25" customHeight="1">
      <c r="A36" s="1156" t="str">
        <f t="shared" si="1"/>
        <v>F-30.02_070</v>
      </c>
      <c r="B36" s="1257" t="s">
        <v>298</v>
      </c>
      <c r="C36" s="215" t="s">
        <v>1287</v>
      </c>
      <c r="D36" s="89" t="s">
        <v>1286</v>
      </c>
      <c r="E36" s="1869"/>
      <c r="F36" s="1869"/>
      <c r="G36" s="1869"/>
      <c r="H36" s="1250">
        <f>IF($E$36&gt;=0,0,"F30.2,c10,r70&gt;=0")</f>
        <v>0</v>
      </c>
      <c r="I36" s="1250">
        <f>IF($F$36&gt;=0,0,"F30.2,c20,r70&gt;=0")</f>
        <v>0</v>
      </c>
      <c r="J36" s="1250">
        <f>IF($G$36&gt;=0,0,"F30.2,c30,r70&gt;=0")</f>
        <v>0</v>
      </c>
      <c r="K36" s="1259"/>
    </row>
    <row r="37" spans="1:11" s="1260" customFormat="1">
      <c r="A37" s="1156" t="str">
        <f t="shared" si="1"/>
        <v>F-30.02_080</v>
      </c>
      <c r="B37" s="1262" t="s">
        <v>299</v>
      </c>
      <c r="C37" s="1266" t="s">
        <v>1288</v>
      </c>
      <c r="D37" s="265" t="s">
        <v>60</v>
      </c>
      <c r="E37" s="1870"/>
      <c r="F37" s="1870"/>
      <c r="G37" s="1870"/>
      <c r="H37" s="1250">
        <f>IF($E$37&gt;=0,0,"F30.2,c10,r80&gt;=0")</f>
        <v>0</v>
      </c>
      <c r="I37" s="1250">
        <f>IF($F$37&gt;=0,0,"F30.2,c20,r80&gt;=0")</f>
        <v>0</v>
      </c>
      <c r="J37" s="1250">
        <f>IF($G$37&gt;=0,0,"F30.2,c30,r80&gt;=0")</f>
        <v>0</v>
      </c>
      <c r="K37" s="1259"/>
    </row>
    <row r="38" spans="1:11" s="1260" customFormat="1" ht="21">
      <c r="A38" s="1156" t="str">
        <f t="shared" si="1"/>
        <v>F-30.02_090</v>
      </c>
      <c r="B38" s="1264" t="s">
        <v>300</v>
      </c>
      <c r="C38" s="212" t="s">
        <v>121</v>
      </c>
      <c r="D38" s="115" t="s">
        <v>1641</v>
      </c>
      <c r="E38" s="1871"/>
      <c r="F38" s="1871"/>
      <c r="G38" s="1871"/>
      <c r="H38" s="1250">
        <f>IF($E$38&gt;=0,0,"F30.2,c10,r90&gt;=0")</f>
        <v>0</v>
      </c>
      <c r="I38" s="1250">
        <f>IF($F$38&gt;=0,0,"F30.2,c20,r90&gt;=0")</f>
        <v>0</v>
      </c>
      <c r="J38" s="1250">
        <f>IF($G$38&gt;=0,0,"F30.2,c30,r90&gt;=0")</f>
        <v>0</v>
      </c>
      <c r="K38" s="1250">
        <f>IF($G$31&lt;=$G$30,0,"c30 r21&lt;=r10")</f>
        <v>0</v>
      </c>
    </row>
    <row r="39" spans="1:11" s="1260" customFormat="1" ht="21">
      <c r="A39" s="1156" t="str">
        <f t="shared" si="1"/>
        <v>F-30.02_100</v>
      </c>
      <c r="B39" s="1265" t="s">
        <v>301</v>
      </c>
      <c r="C39" s="212" t="s">
        <v>1289</v>
      </c>
      <c r="D39" s="160" t="s">
        <v>1568</v>
      </c>
      <c r="E39" s="1871"/>
      <c r="F39" s="1871"/>
      <c r="G39" s="1871"/>
      <c r="H39" s="1250">
        <f>IF($E$39&gt;=0,0,"F30.2,c10,r100&gt;=0")</f>
        <v>0</v>
      </c>
      <c r="I39" s="1250">
        <f>IF($F$39&gt;=0,0,"F30.2,c20,r100&gt;=0")</f>
        <v>0</v>
      </c>
      <c r="J39" s="1250">
        <f>IF($G$39&gt;=0,0,"F30.2,c30,r100&gt;=0")</f>
        <v>0</v>
      </c>
      <c r="K39" s="1250">
        <f>IF($F$31&lt;=$F$30,0,"c20 r21&lt;=r10")</f>
        <v>0</v>
      </c>
    </row>
    <row r="40" spans="1:11" s="1260" customFormat="1">
      <c r="A40" s="1156" t="str">
        <f t="shared" si="1"/>
        <v>F-30.02_110</v>
      </c>
      <c r="B40" s="1264" t="s">
        <v>302</v>
      </c>
      <c r="C40" s="212" t="s">
        <v>32</v>
      </c>
      <c r="D40" s="204" t="s">
        <v>1569</v>
      </c>
      <c r="E40" s="1872"/>
      <c r="F40" s="1872"/>
      <c r="G40" s="1872"/>
      <c r="H40" s="1250">
        <f>IF($E$40&gt;=0,0,"F30.2,c10,r110&gt;=0")</f>
        <v>0</v>
      </c>
      <c r="I40" s="1250">
        <f>IF($F$40&gt;=0,0,"F30.2,c20,r110&gt;=0")</f>
        <v>0</v>
      </c>
      <c r="J40" s="1250">
        <f>IF($G$40&gt;=0,0,"F30.2,c30,r110&gt;=0")</f>
        <v>0</v>
      </c>
      <c r="K40" s="1250">
        <f>IF($E$31&lt;=$E$30,0,"c10 r21&lt;=r10")</f>
        <v>0</v>
      </c>
    </row>
    <row r="41" spans="1:11" ht="12.75" customHeight="1">
      <c r="A41" s="1100" t="s">
        <v>718</v>
      </c>
      <c r="B41" s="1267"/>
      <c r="C41" s="1268"/>
      <c r="D41" s="1269"/>
      <c r="E41" s="2122" t="s">
        <v>1644</v>
      </c>
      <c r="F41" s="2122"/>
      <c r="G41" s="2123"/>
      <c r="H41" s="1250"/>
      <c r="I41" s="1250"/>
      <c r="J41" s="1250"/>
      <c r="K41" s="1250">
        <f>IF($G$43&lt;=$G$42,0,"c30 r131&lt;=120")</f>
        <v>0</v>
      </c>
    </row>
    <row r="42" spans="1:11" ht="31.5">
      <c r="A42" s="1156" t="str">
        <f t="shared" si="1"/>
        <v>F-30.02_120</v>
      </c>
      <c r="B42" s="1262">
        <v>120</v>
      </c>
      <c r="C42" s="1270" t="s">
        <v>1290</v>
      </c>
      <c r="D42" s="1502" t="s">
        <v>1642</v>
      </c>
      <c r="E42" s="1873"/>
      <c r="F42" s="1873"/>
      <c r="G42" s="1873"/>
      <c r="H42" s="1250">
        <f>IF($E$42&gt;=0,0,"F30.2,c10,r120&gt;=0")</f>
        <v>0</v>
      </c>
      <c r="I42" s="1250">
        <f>IF($F$42&gt;=0,0,"F30.2,c20,r120&gt;=0")</f>
        <v>0</v>
      </c>
      <c r="J42" s="1250">
        <f>IF($G$42&gt;=0,0,"F30.2,c30,r120&gt;=0")</f>
        <v>0</v>
      </c>
      <c r="K42" s="1250">
        <f>IF($F$43&lt;=$F$42,0,"c20 r131&lt;=120")</f>
        <v>0</v>
      </c>
    </row>
    <row r="43" spans="1:11">
      <c r="A43" s="1156" t="str">
        <f t="shared" si="1"/>
        <v>F-30.02_131</v>
      </c>
      <c r="B43" s="1271">
        <v>131</v>
      </c>
      <c r="C43" s="118" t="s">
        <v>696</v>
      </c>
      <c r="D43" s="1272" t="s">
        <v>1643</v>
      </c>
      <c r="E43" s="1874"/>
      <c r="F43" s="1875"/>
      <c r="G43" s="1875"/>
      <c r="H43" s="1250">
        <f>IF($E$43&gt;=0,0,"F30.2,c10,r131&gt;=0")</f>
        <v>0</v>
      </c>
      <c r="I43" s="1250">
        <f>IF($F$43&gt;=0,0,"F30.2,c20,r131&gt;=0")</f>
        <v>0</v>
      </c>
      <c r="J43" s="1250">
        <f>IF($G$43&gt;=0,0,"F30.2,c30,r131&gt;=0")</f>
        <v>0</v>
      </c>
      <c r="K43" s="1250">
        <f>IF($E$43&lt;=$E$42,0,"c10 r131&lt;=120")</f>
        <v>0</v>
      </c>
    </row>
    <row r="44" spans="1:11">
      <c r="A44" s="1100" t="s">
        <v>718</v>
      </c>
      <c r="E44" s="1273"/>
      <c r="G44" s="1275"/>
      <c r="H44" s="1274"/>
      <c r="I44" s="1274"/>
      <c r="J44" s="1274"/>
    </row>
    <row r="45" spans="1:11">
      <c r="A45" s="1100" t="s">
        <v>718</v>
      </c>
      <c r="E45" s="1273"/>
    </row>
    <row r="46" spans="1:11">
      <c r="A46" s="1100" t="s">
        <v>718</v>
      </c>
      <c r="E46" s="1275"/>
    </row>
    <row r="47" spans="1:11">
      <c r="A47" s="1100" t="s">
        <v>718</v>
      </c>
      <c r="E47" s="1275"/>
    </row>
    <row r="48" spans="1:11">
      <c r="A48" s="1100" t="s">
        <v>718</v>
      </c>
      <c r="D48" s="1274"/>
      <c r="E48" s="1275"/>
      <c r="F48" s="1276"/>
      <c r="G48" s="1276"/>
    </row>
    <row r="49" spans="1:7">
      <c r="A49" s="1100" t="s">
        <v>718</v>
      </c>
      <c r="D49" s="1274"/>
      <c r="E49" s="1275"/>
      <c r="F49" s="1277"/>
      <c r="G49" s="1277"/>
    </row>
    <row r="50" spans="1:7">
      <c r="A50" s="1100" t="s">
        <v>718</v>
      </c>
      <c r="E50" s="1275"/>
    </row>
    <row r="51" spans="1:7">
      <c r="A51" s="1156" t="s">
        <v>724</v>
      </c>
    </row>
  </sheetData>
  <sheetProtection password="C2F4" sheet="1" objects="1" scenarios="1"/>
  <mergeCells count="8">
    <mergeCell ref="H29:K29"/>
    <mergeCell ref="E41:G41"/>
    <mergeCell ref="C26:C27"/>
    <mergeCell ref="D26:D28"/>
    <mergeCell ref="H26:K26"/>
    <mergeCell ref="H27:K27"/>
    <mergeCell ref="H28:K28"/>
    <mergeCell ref="E26:G26"/>
  </mergeCells>
  <dataValidations count="1">
    <dataValidation type="whole" allowBlank="1" showInputMessage="1" showErrorMessage="1" error="wrong number format or sign" sqref="E14:K14 E30:G40 E42:G43">
      <formula1>0</formula1>
      <formula2>99999999</formula2>
    </dataValidation>
  </dataValidations>
  <printOptions horizontalCentered="1" headings="1" gridLines="1"/>
  <pageMargins left="0.2" right="0.23622047244094491" top="0.26" bottom="0.23" header="0.17" footer="0.17"/>
  <pageSetup paperSize="9" scale="67" orientation="landscape" cellComments="asDisplayed" r:id="rId1"/>
  <headerFooter scaleWithDoc="0"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0" tint="-0.499984740745262"/>
  </sheetPr>
  <dimension ref="A1:O71"/>
  <sheetViews>
    <sheetView topLeftCell="B6" zoomScaleNormal="100" zoomScaleSheetLayoutView="100" workbookViewId="0">
      <selection activeCell="B6" sqref="B6"/>
    </sheetView>
  </sheetViews>
  <sheetFormatPr defaultColWidth="9.140625" defaultRowHeight="12.75"/>
  <cols>
    <col min="1" max="1" width="15" style="1156" hidden="1" customWidth="1"/>
    <col min="2" max="2" width="6.28515625" style="62" customWidth="1"/>
    <col min="3" max="3" width="94.28515625" style="62" customWidth="1"/>
    <col min="4" max="4" width="26.5703125" style="62" customWidth="1"/>
    <col min="5" max="6" width="14.42578125" style="62" customWidth="1"/>
    <col min="7" max="7" width="19" style="62" customWidth="1"/>
    <col min="8" max="8" width="15.85546875" style="62" customWidth="1"/>
    <col min="9" max="9" width="14.28515625" style="62" customWidth="1"/>
    <col min="10" max="10" width="16.85546875" style="62" bestFit="1" customWidth="1"/>
    <col min="11" max="11" width="18.7109375" style="62" customWidth="1"/>
    <col min="12" max="14" width="16.85546875" style="62" bestFit="1" customWidth="1"/>
    <col min="15" max="15" width="8.85546875" style="62" customWidth="1"/>
    <col min="16" max="16384" width="9.140625" style="62"/>
  </cols>
  <sheetData>
    <row r="1" spans="1:15" s="1097" customFormat="1" ht="18" hidden="1" customHeight="1">
      <c r="A1" s="1096" t="s">
        <v>1529</v>
      </c>
      <c r="B1" s="1118">
        <v>2</v>
      </c>
      <c r="C1" s="1118">
        <v>1</v>
      </c>
      <c r="D1" s="1119">
        <v>15</v>
      </c>
      <c r="E1" s="1182">
        <v>5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15" s="1097" customFormat="1" ht="18" hidden="1" customHeight="1">
      <c r="A2" s="1096" t="str">
        <f>Index!$A$2</f>
        <v>V20181222</v>
      </c>
      <c r="B2" s="1098"/>
      <c r="C2" s="1099"/>
      <c r="D2" s="1100"/>
      <c r="E2" s="1100" t="str">
        <f>$A$1&amp;"_"&amp;E14</f>
        <v>F-31.01_010</v>
      </c>
      <c r="F2" s="1100" t="str">
        <f>$A$1&amp;"_"&amp;F14</f>
        <v>F-31.01_020</v>
      </c>
      <c r="G2" s="1100" t="str">
        <f>$A$1&amp;"_"&amp;G14</f>
        <v>F-31.01_030</v>
      </c>
      <c r="H2" s="1100" t="str">
        <f>$A$1&amp;"_"&amp;H14</f>
        <v>F-31.01_040</v>
      </c>
      <c r="I2" s="1100" t="str">
        <f>$A$1&amp;"_"&amp;I14</f>
        <v>F-31.01_050</v>
      </c>
      <c r="J2" s="1100"/>
      <c r="K2" s="1100"/>
      <c r="L2" s="1100"/>
      <c r="M2" s="1100"/>
      <c r="N2" s="1101"/>
    </row>
    <row r="3" spans="1:15" s="1097" customFormat="1" ht="18" hidden="1" customHeight="1">
      <c r="A3" s="1096" t="str">
        <f>"R:A1:P"&amp;ROW(A71)+1</f>
        <v>R:A1:P72</v>
      </c>
      <c r="B3" s="1102"/>
      <c r="C3" s="1103"/>
      <c r="D3" s="1104"/>
      <c r="E3" s="1105"/>
      <c r="F3" s="1106"/>
      <c r="G3" s="1107"/>
      <c r="H3" s="1107"/>
      <c r="I3" s="1107"/>
      <c r="J3" s="1107"/>
      <c r="K3" s="1107"/>
    </row>
    <row r="4" spans="1:15" s="1097" customFormat="1" ht="18" hidden="1" customHeight="1">
      <c r="A4" s="1096"/>
      <c r="B4" s="1102"/>
      <c r="C4" s="1103"/>
      <c r="D4" s="1108"/>
      <c r="E4" s="1109"/>
      <c r="F4" s="1110"/>
      <c r="G4" s="1111">
        <f>N5</f>
        <v>0</v>
      </c>
      <c r="H4" s="1107"/>
      <c r="I4" s="1107"/>
      <c r="J4" s="1107"/>
      <c r="K4" s="1107"/>
    </row>
    <row r="5" spans="1:15" s="1097" customFormat="1" ht="18" hidden="1" customHeight="1">
      <c r="A5" s="1096"/>
      <c r="B5" s="1102"/>
      <c r="C5" s="1103"/>
      <c r="D5" s="1112"/>
      <c r="E5" s="1113"/>
      <c r="F5" s="1114"/>
      <c r="N5" s="1097">
        <f>COUNTIF(J12:O29,"&lt;&gt;0")-COUNTBLANK(J12:O29)+COUNTIF(D29:I38,"&lt;&gt;0")-COUNTBLANK(D29:I38)</f>
        <v>0</v>
      </c>
    </row>
    <row r="6" spans="1:15" s="1116" customFormat="1">
      <c r="A6" s="1100" t="s">
        <v>718</v>
      </c>
      <c r="B6" s="1115"/>
    </row>
    <row r="7" spans="1:15" ht="19.5" customHeight="1">
      <c r="A7" s="1100" t="s">
        <v>718</v>
      </c>
      <c r="B7" s="120" t="s">
        <v>1291</v>
      </c>
    </row>
    <row r="8" spans="1:15">
      <c r="A8" s="1100" t="s">
        <v>718</v>
      </c>
      <c r="B8" s="120"/>
    </row>
    <row r="9" spans="1:15">
      <c r="A9" s="1100" t="s">
        <v>718</v>
      </c>
      <c r="B9" s="63" t="s">
        <v>1292</v>
      </c>
      <c r="D9" s="587"/>
      <c r="E9" s="158" t="str">
        <f>IF(SUM($E$15:$I$27)+SUM($E$54:$I$61)&lt;&gt;0,"Y","N")</f>
        <v>N</v>
      </c>
    </row>
    <row r="10" spans="1:15">
      <c r="A10" s="1100" t="s">
        <v>718</v>
      </c>
      <c r="B10" s="63"/>
    </row>
    <row r="11" spans="1:15">
      <c r="A11" s="1100" t="s">
        <v>718</v>
      </c>
      <c r="B11" s="402"/>
      <c r="C11" s="1278"/>
      <c r="D11" s="1992" t="s">
        <v>1623</v>
      </c>
      <c r="E11" s="1280"/>
      <c r="F11" s="1281"/>
      <c r="G11" s="1282" t="s">
        <v>1293</v>
      </c>
      <c r="H11" s="1281"/>
      <c r="I11" s="1283"/>
    </row>
    <row r="12" spans="1:15" s="114" customFormat="1" ht="116.25" customHeight="1">
      <c r="A12" s="1100" t="s">
        <v>718</v>
      </c>
      <c r="B12" s="1284"/>
      <c r="C12" s="2131"/>
      <c r="D12" s="1993"/>
      <c r="E12" s="487" t="s">
        <v>1294</v>
      </c>
      <c r="F12" s="487" t="s">
        <v>1295</v>
      </c>
      <c r="G12" s="487" t="s">
        <v>1296</v>
      </c>
      <c r="H12" s="487" t="s">
        <v>1297</v>
      </c>
      <c r="I12" s="487" t="s">
        <v>1298</v>
      </c>
      <c r="K12" s="1843"/>
      <c r="L12" s="1285"/>
      <c r="M12" s="1843"/>
      <c r="N12" s="1285"/>
      <c r="O12" s="1285"/>
    </row>
    <row r="13" spans="1:15" ht="31.5">
      <c r="A13" s="1100" t="s">
        <v>718</v>
      </c>
      <c r="B13" s="493"/>
      <c r="C13" s="2131"/>
      <c r="D13" s="1993"/>
      <c r="E13" s="584" t="s">
        <v>1299</v>
      </c>
      <c r="F13" s="584" t="s">
        <v>1621</v>
      </c>
      <c r="G13" s="584" t="s">
        <v>1622</v>
      </c>
      <c r="H13" s="584" t="s">
        <v>1300</v>
      </c>
      <c r="I13" s="584" t="s">
        <v>1301</v>
      </c>
      <c r="J13" s="1286"/>
      <c r="K13" s="1287"/>
      <c r="L13" s="1287"/>
      <c r="M13" s="1287"/>
      <c r="N13" s="1287"/>
    </row>
    <row r="14" spans="1:15" ht="11.25" customHeight="1">
      <c r="A14" s="1100" t="s">
        <v>718</v>
      </c>
      <c r="B14" s="405"/>
      <c r="C14" s="558"/>
      <c r="D14" s="1994"/>
      <c r="E14" s="1288" t="s">
        <v>292</v>
      </c>
      <c r="F14" s="418" t="s">
        <v>293</v>
      </c>
      <c r="G14" s="1288" t="s">
        <v>294</v>
      </c>
      <c r="H14" s="418" t="s">
        <v>295</v>
      </c>
      <c r="I14" s="1289" t="s">
        <v>296</v>
      </c>
      <c r="J14" s="1286"/>
      <c r="K14" s="1287"/>
      <c r="L14" s="1287"/>
      <c r="M14" s="1287"/>
      <c r="N14" s="1287"/>
    </row>
    <row r="15" spans="1:15">
      <c r="A15" s="1156" t="str">
        <f t="shared" ref="A15:A28" si="0">$A$1&amp;"_"&amp;B15</f>
        <v>F-31.01_010</v>
      </c>
      <c r="B15" s="1290" t="s">
        <v>292</v>
      </c>
      <c r="C15" s="187" t="s">
        <v>1302</v>
      </c>
      <c r="D15" s="1291" t="s">
        <v>1303</v>
      </c>
      <c r="E15" s="1890"/>
      <c r="F15" s="1890"/>
      <c r="G15" s="1890"/>
      <c r="H15" s="1890"/>
      <c r="I15" s="1890"/>
      <c r="J15" s="675"/>
      <c r="K15" s="671"/>
      <c r="L15" s="671"/>
      <c r="M15" s="671"/>
      <c r="N15" s="671"/>
    </row>
    <row r="16" spans="1:15">
      <c r="A16" s="1156" t="str">
        <f t="shared" si="0"/>
        <v>F-31.01_020</v>
      </c>
      <c r="B16" s="1292" t="s">
        <v>293</v>
      </c>
      <c r="C16" s="116" t="s">
        <v>59</v>
      </c>
      <c r="D16" s="14" t="s">
        <v>60</v>
      </c>
      <c r="E16" s="1877"/>
      <c r="F16" s="1877"/>
      <c r="G16" s="1877"/>
      <c r="H16" s="1877"/>
      <c r="I16" s="1877"/>
      <c r="J16" s="915">
        <f t="shared" ref="J16:J27" si="1">IF($E16&gt;=0,0,"F31.1,c10&gt;=0")</f>
        <v>0</v>
      </c>
      <c r="K16" s="915">
        <f>IF($F16&gt;=0,0,"F31.1,c20&gt;=0")</f>
        <v>0</v>
      </c>
      <c r="L16" s="915">
        <f>IF($G16&gt;=0,0,"F31.1,c30&gt;=0")</f>
        <v>0</v>
      </c>
      <c r="M16" s="915">
        <f>IF($H16&gt;=0,0,"F31.1,c40&gt;=0")</f>
        <v>0</v>
      </c>
      <c r="N16" s="915">
        <f>IF($I16&gt;=0,0,"F31.1,c50&gt;=0")</f>
        <v>0</v>
      </c>
    </row>
    <row r="17" spans="1:14">
      <c r="A17" s="1156" t="str">
        <f t="shared" si="0"/>
        <v>F-31.01_030</v>
      </c>
      <c r="B17" s="1292" t="s">
        <v>294</v>
      </c>
      <c r="C17" s="116" t="s">
        <v>55</v>
      </c>
      <c r="D17" s="14" t="s">
        <v>595</v>
      </c>
      <c r="E17" s="1877"/>
      <c r="F17" s="1877"/>
      <c r="G17" s="1877"/>
      <c r="H17" s="1877"/>
      <c r="I17" s="1877"/>
      <c r="J17" s="915">
        <f t="shared" si="1"/>
        <v>0</v>
      </c>
      <c r="K17" s="915">
        <f t="shared" ref="K17:K28" si="2">IF($F17&gt;=0,0,"F31.1,c20&gt;=0")</f>
        <v>0</v>
      </c>
      <c r="L17" s="915">
        <f t="shared" ref="L17:L28" si="3">IF($G17&gt;=0,0,"F31.1,c30&gt;=0")</f>
        <v>0</v>
      </c>
      <c r="M17" s="915">
        <f t="shared" ref="M17:M28" si="4">IF($H17&gt;=0,0,"F31.1,c40&gt;=0")</f>
        <v>0</v>
      </c>
      <c r="N17" s="915">
        <f t="shared" ref="N17:N28" si="5">IF($I17&gt;=0,0,"F31.1,c50&gt;=0")</f>
        <v>0</v>
      </c>
    </row>
    <row r="18" spans="1:14">
      <c r="A18" s="1156" t="str">
        <f t="shared" si="0"/>
        <v>F-31.01_040</v>
      </c>
      <c r="B18" s="1292" t="s">
        <v>295</v>
      </c>
      <c r="C18" s="116" t="s">
        <v>1304</v>
      </c>
      <c r="D18" s="14" t="s">
        <v>1576</v>
      </c>
      <c r="E18" s="1877"/>
      <c r="F18" s="1877"/>
      <c r="G18" s="1877"/>
      <c r="H18" s="1877"/>
      <c r="I18" s="1877"/>
      <c r="J18" s="915">
        <f t="shared" si="1"/>
        <v>0</v>
      </c>
      <c r="K18" s="915">
        <f t="shared" si="2"/>
        <v>0</v>
      </c>
      <c r="L18" s="915">
        <f t="shared" si="3"/>
        <v>0</v>
      </c>
      <c r="M18" s="915">
        <f t="shared" si="4"/>
        <v>0</v>
      </c>
      <c r="N18" s="915">
        <f t="shared" si="5"/>
        <v>0</v>
      </c>
    </row>
    <row r="19" spans="1:14" ht="26.25" customHeight="1">
      <c r="A19" s="1156" t="str">
        <f t="shared" si="0"/>
        <v>F-31.01_050</v>
      </c>
      <c r="B19" s="1293" t="s">
        <v>296</v>
      </c>
      <c r="C19" s="1294" t="s">
        <v>696</v>
      </c>
      <c r="D19" s="216" t="s">
        <v>1614</v>
      </c>
      <c r="E19" s="1879"/>
      <c r="F19" s="1879"/>
      <c r="G19" s="1879"/>
      <c r="H19" s="1879"/>
      <c r="I19" s="1879"/>
      <c r="J19" s="915">
        <f t="shared" si="1"/>
        <v>0</v>
      </c>
      <c r="K19" s="915">
        <f t="shared" si="2"/>
        <v>0</v>
      </c>
      <c r="L19" s="915">
        <f t="shared" si="3"/>
        <v>0</v>
      </c>
      <c r="M19" s="915">
        <f t="shared" si="4"/>
        <v>0</v>
      </c>
      <c r="N19" s="915">
        <f t="shared" si="5"/>
        <v>0</v>
      </c>
    </row>
    <row r="20" spans="1:14">
      <c r="A20" s="1156" t="str">
        <f t="shared" si="0"/>
        <v>F-31.01_060</v>
      </c>
      <c r="B20" s="1292" t="s">
        <v>297</v>
      </c>
      <c r="C20" s="221" t="s">
        <v>1305</v>
      </c>
      <c r="D20" s="119" t="s">
        <v>1303</v>
      </c>
      <c r="E20" s="1891"/>
      <c r="F20" s="1891"/>
      <c r="G20" s="1891"/>
      <c r="H20" s="1891"/>
      <c r="I20" s="1891"/>
      <c r="J20" s="915">
        <f t="shared" si="1"/>
        <v>0</v>
      </c>
      <c r="K20" s="915">
        <f t="shared" si="2"/>
        <v>0</v>
      </c>
      <c r="L20" s="915">
        <f t="shared" si="3"/>
        <v>0</v>
      </c>
      <c r="M20" s="915">
        <f t="shared" si="4"/>
        <v>0</v>
      </c>
      <c r="N20" s="915">
        <f t="shared" si="5"/>
        <v>0</v>
      </c>
    </row>
    <row r="21" spans="1:14" ht="21">
      <c r="A21" s="1156" t="str">
        <f t="shared" si="0"/>
        <v>F-31.01_070</v>
      </c>
      <c r="B21" s="1292" t="s">
        <v>298</v>
      </c>
      <c r="C21" s="116" t="s">
        <v>1289</v>
      </c>
      <c r="D21" s="44" t="s">
        <v>1568</v>
      </c>
      <c r="E21" s="1892"/>
      <c r="F21" s="1880"/>
      <c r="G21" s="1880"/>
      <c r="H21" s="1880"/>
      <c r="I21" s="1880"/>
      <c r="J21" s="915">
        <f t="shared" si="1"/>
        <v>0</v>
      </c>
      <c r="K21" s="915">
        <f t="shared" si="2"/>
        <v>0</v>
      </c>
      <c r="L21" s="915">
        <f t="shared" si="3"/>
        <v>0</v>
      </c>
      <c r="M21" s="915">
        <f t="shared" si="4"/>
        <v>0</v>
      </c>
      <c r="N21" s="915">
        <f t="shared" si="5"/>
        <v>0</v>
      </c>
    </row>
    <row r="22" spans="1:14">
      <c r="A22" s="1156" t="str">
        <f t="shared" si="0"/>
        <v>F-31.01_080</v>
      </c>
      <c r="B22" s="1293" t="s">
        <v>299</v>
      </c>
      <c r="C22" s="1294" t="s">
        <v>32</v>
      </c>
      <c r="D22" s="44" t="s">
        <v>1569</v>
      </c>
      <c r="E22" s="1892"/>
      <c r="F22" s="1880"/>
      <c r="G22" s="1880"/>
      <c r="H22" s="1880"/>
      <c r="I22" s="1880"/>
      <c r="J22" s="915">
        <f t="shared" si="1"/>
        <v>0</v>
      </c>
      <c r="K22" s="915">
        <f t="shared" si="2"/>
        <v>0</v>
      </c>
      <c r="L22" s="915">
        <f t="shared" si="3"/>
        <v>0</v>
      </c>
      <c r="M22" s="915">
        <f t="shared" si="4"/>
        <v>0</v>
      </c>
      <c r="N22" s="915">
        <f t="shared" si="5"/>
        <v>0</v>
      </c>
    </row>
    <row r="23" spans="1:14" ht="31.5">
      <c r="A23" s="1156" t="str">
        <f t="shared" si="0"/>
        <v>F-31.01_090</v>
      </c>
      <c r="B23" s="1296" t="s">
        <v>300</v>
      </c>
      <c r="C23" s="1297" t="s">
        <v>1306</v>
      </c>
      <c r="D23" s="119" t="s">
        <v>1615</v>
      </c>
      <c r="E23" s="1881"/>
      <c r="F23" s="1882"/>
      <c r="G23" s="1881"/>
      <c r="H23" s="1882"/>
      <c r="I23" s="1883"/>
      <c r="J23" s="915">
        <f t="shared" si="1"/>
        <v>0</v>
      </c>
      <c r="K23" s="915">
        <f t="shared" si="2"/>
        <v>0</v>
      </c>
      <c r="L23" s="915">
        <f t="shared" si="3"/>
        <v>0</v>
      </c>
      <c r="M23" s="915">
        <f t="shared" si="4"/>
        <v>0</v>
      </c>
      <c r="N23" s="915">
        <f t="shared" si="5"/>
        <v>0</v>
      </c>
    </row>
    <row r="24" spans="1:14" ht="21">
      <c r="A24" s="1156" t="str">
        <f t="shared" si="0"/>
        <v>F-31.01_100</v>
      </c>
      <c r="B24" s="1292">
        <v>100</v>
      </c>
      <c r="C24" s="116" t="s">
        <v>696</v>
      </c>
      <c r="D24" s="119" t="s">
        <v>1616</v>
      </c>
      <c r="E24" s="1876"/>
      <c r="F24" s="1877"/>
      <c r="G24" s="1876"/>
      <c r="H24" s="1877"/>
      <c r="I24" s="1878"/>
      <c r="J24" s="915">
        <f t="shared" si="1"/>
        <v>0</v>
      </c>
      <c r="K24" s="915">
        <f t="shared" si="2"/>
        <v>0</v>
      </c>
      <c r="L24" s="915">
        <f t="shared" si="3"/>
        <v>0</v>
      </c>
      <c r="M24" s="915">
        <f t="shared" si="4"/>
        <v>0</v>
      </c>
      <c r="N24" s="915">
        <f t="shared" si="5"/>
        <v>0</v>
      </c>
    </row>
    <row r="25" spans="1:14" ht="21">
      <c r="A25" s="1156" t="str">
        <f t="shared" si="0"/>
        <v>F-31.01_110</v>
      </c>
      <c r="B25" s="1293">
        <v>110</v>
      </c>
      <c r="C25" s="1298" t="s">
        <v>262</v>
      </c>
      <c r="D25" s="1295" t="s">
        <v>1617</v>
      </c>
      <c r="E25" s="1884"/>
      <c r="F25" s="1885"/>
      <c r="G25" s="1884"/>
      <c r="H25" s="1885"/>
      <c r="I25" s="1886"/>
      <c r="J25" s="915">
        <f t="shared" si="1"/>
        <v>0</v>
      </c>
      <c r="K25" s="915">
        <f t="shared" si="2"/>
        <v>0</v>
      </c>
      <c r="L25" s="915">
        <f t="shared" si="3"/>
        <v>0</v>
      </c>
      <c r="M25" s="915">
        <f t="shared" si="4"/>
        <v>0</v>
      </c>
      <c r="N25" s="915">
        <f t="shared" si="5"/>
        <v>0</v>
      </c>
    </row>
    <row r="26" spans="1:14">
      <c r="A26" s="1156" t="str">
        <f t="shared" si="0"/>
        <v>F-31.01_120</v>
      </c>
      <c r="B26" s="561">
        <v>120</v>
      </c>
      <c r="C26" s="1298" t="s">
        <v>1307</v>
      </c>
      <c r="D26" s="1295" t="s">
        <v>1618</v>
      </c>
      <c r="E26" s="1884"/>
      <c r="F26" s="1885"/>
      <c r="G26" s="1884"/>
      <c r="H26" s="1885"/>
      <c r="I26" s="1886"/>
      <c r="J26" s="915">
        <f t="shared" si="1"/>
        <v>0</v>
      </c>
      <c r="K26" s="915">
        <f t="shared" si="2"/>
        <v>0</v>
      </c>
      <c r="L26" s="915">
        <f t="shared" si="3"/>
        <v>0</v>
      </c>
      <c r="M26" s="915">
        <f t="shared" si="4"/>
        <v>0</v>
      </c>
      <c r="N26" s="915">
        <f t="shared" si="5"/>
        <v>0</v>
      </c>
    </row>
    <row r="27" spans="1:14" ht="21">
      <c r="A27" s="1156" t="str">
        <f t="shared" si="0"/>
        <v>F-31.01_131</v>
      </c>
      <c r="B27" s="1758">
        <v>131</v>
      </c>
      <c r="C27" s="1759" t="s">
        <v>1619</v>
      </c>
      <c r="D27" s="1760" t="s">
        <v>1620</v>
      </c>
      <c r="E27" s="1884"/>
      <c r="F27" s="1885"/>
      <c r="G27" s="1884"/>
      <c r="H27" s="1885"/>
      <c r="I27" s="1886"/>
      <c r="J27" s="1228">
        <f t="shared" si="1"/>
        <v>0</v>
      </c>
      <c r="K27" s="1228"/>
      <c r="L27" s="1228"/>
      <c r="M27" s="1228"/>
      <c r="N27" s="1228"/>
    </row>
    <row r="28" spans="1:14">
      <c r="A28" s="1156" t="str">
        <f t="shared" si="0"/>
        <v>F-31.01_132</v>
      </c>
      <c r="B28" s="1761">
        <v>132</v>
      </c>
      <c r="C28" s="1762" t="s">
        <v>1612</v>
      </c>
      <c r="D28" s="1763" t="s">
        <v>1613</v>
      </c>
      <c r="E28" s="1887"/>
      <c r="F28" s="1888"/>
      <c r="G28" s="1887"/>
      <c r="H28" s="1888"/>
      <c r="I28" s="1889"/>
      <c r="J28" s="915">
        <f>IF($E28&gt;=0,0,"F31.1,c10&gt;=0")</f>
        <v>0</v>
      </c>
      <c r="K28" s="915">
        <f t="shared" si="2"/>
        <v>0</v>
      </c>
      <c r="L28" s="915">
        <f t="shared" si="3"/>
        <v>0</v>
      </c>
      <c r="M28" s="915">
        <f t="shared" si="4"/>
        <v>0</v>
      </c>
      <c r="N28" s="915">
        <f t="shared" si="5"/>
        <v>0</v>
      </c>
    </row>
    <row r="29" spans="1:14" ht="12.75" customHeight="1">
      <c r="A29" s="1100" t="s">
        <v>718</v>
      </c>
      <c r="B29" s="1300"/>
      <c r="C29" s="1301"/>
      <c r="D29" s="1302"/>
      <c r="E29" s="1468"/>
      <c r="F29" s="1468"/>
      <c r="G29" s="1468"/>
      <c r="H29" s="1468"/>
      <c r="I29" s="1468"/>
      <c r="J29" s="671"/>
      <c r="K29" s="671"/>
      <c r="L29" s="671"/>
      <c r="M29" s="671"/>
      <c r="N29" s="671"/>
    </row>
    <row r="30" spans="1:14" ht="18" customHeight="1">
      <c r="A30" s="1100" t="s">
        <v>718</v>
      </c>
      <c r="B30" s="1300"/>
      <c r="C30" s="1301"/>
      <c r="E30" s="1469"/>
      <c r="F30" s="1469"/>
      <c r="G30" s="1469"/>
      <c r="H30" s="1469"/>
      <c r="I30" s="1469"/>
      <c r="J30" s="671"/>
      <c r="K30" s="671"/>
      <c r="L30" s="671"/>
      <c r="M30" s="671"/>
      <c r="N30" s="671"/>
    </row>
    <row r="31" spans="1:14">
      <c r="A31" s="1100" t="s">
        <v>718</v>
      </c>
      <c r="B31" s="1300"/>
      <c r="C31" s="1301"/>
      <c r="D31" s="1302"/>
      <c r="E31" s="1302">
        <f>IF($E$15&gt;=$E$19,0,"r10&gt;=r50")</f>
        <v>0</v>
      </c>
      <c r="F31" s="1302">
        <f>IF($F$15&gt;=$F$19,0,"r10&gt;=r50")</f>
        <v>0</v>
      </c>
      <c r="G31" s="1302">
        <f>IF($G$15&gt;=$G$19,0,"r10&gt;=r50")</f>
        <v>0</v>
      </c>
      <c r="H31" s="1302">
        <f>IF($H$15&gt;=$H$19,0,"r10&gt;=r50")</f>
        <v>0</v>
      </c>
      <c r="I31" s="1302">
        <f>IF($I$15&gt;=$I$19,0,"r10&gt;=r50")</f>
        <v>0</v>
      </c>
    </row>
    <row r="32" spans="1:14" ht="12.75" customHeight="1">
      <c r="A32" s="1100" t="s">
        <v>718</v>
      </c>
      <c r="B32" s="130"/>
      <c r="C32" s="90"/>
      <c r="D32" s="1302"/>
      <c r="E32" s="1302">
        <f>IF($E$23&gt;=$E$24,0,"r90&gt;=r100")</f>
        <v>0</v>
      </c>
      <c r="F32" s="1302">
        <f>IF($F$23&gt;=$F$24,0,"r90&gt;=r100")</f>
        <v>0</v>
      </c>
      <c r="G32" s="1302">
        <f>IF($G$23&gt;=$G$24,0,"r90&gt;=r100")</f>
        <v>0</v>
      </c>
      <c r="H32" s="1302">
        <f>IF($H$23&gt;=$H$24,0,"r90&gt;=r100")</f>
        <v>0</v>
      </c>
      <c r="I32" s="1302">
        <f>IF($I$23&gt;=$I$24,0,"r90&gt;=r100")</f>
        <v>0</v>
      </c>
    </row>
    <row r="33" spans="1:15" ht="31.5" customHeight="1">
      <c r="A33" s="1100" t="s">
        <v>718</v>
      </c>
      <c r="B33" s="1300"/>
      <c r="C33" s="63"/>
      <c r="D33" s="1841"/>
      <c r="E33" s="1302"/>
      <c r="F33" s="1842"/>
      <c r="G33" s="1302"/>
      <c r="I33" s="1273"/>
      <c r="J33" s="1303"/>
      <c r="K33" s="1303"/>
    </row>
    <row r="34" spans="1:15">
      <c r="A34" s="1100" t="s">
        <v>718</v>
      </c>
      <c r="B34" s="1300"/>
      <c r="C34" s="63"/>
      <c r="D34" s="1302"/>
      <c r="E34" s="1456"/>
      <c r="F34" s="1304"/>
      <c r="G34" s="1302"/>
      <c r="H34" s="1459"/>
      <c r="I34" s="1303"/>
      <c r="J34" s="1277"/>
      <c r="K34" s="1303"/>
    </row>
    <row r="35" spans="1:15">
      <c r="A35" s="1100" t="s">
        <v>718</v>
      </c>
      <c r="B35" s="1300"/>
      <c r="C35" s="63"/>
      <c r="D35" s="1302"/>
      <c r="F35" s="1304"/>
      <c r="G35" s="1302"/>
      <c r="H35" s="1844"/>
      <c r="I35" s="1277"/>
      <c r="J35" s="1305"/>
      <c r="K35" s="1303"/>
    </row>
    <row r="36" spans="1:15" s="130" customFormat="1">
      <c r="A36" s="1156" t="s">
        <v>724</v>
      </c>
      <c r="B36" s="158"/>
      <c r="D36" s="1306"/>
      <c r="E36" s="1456"/>
      <c r="H36" s="1844"/>
    </row>
    <row r="37" spans="1:15" s="130" customFormat="1">
      <c r="A37" s="1156"/>
      <c r="B37" s="158"/>
      <c r="D37" s="1306"/>
      <c r="E37" s="1654"/>
      <c r="H37" s="1844"/>
    </row>
    <row r="38" spans="1:15" s="130" customFormat="1">
      <c r="A38" s="1156"/>
      <c r="B38" s="158"/>
      <c r="D38" s="1306"/>
      <c r="E38" s="1654"/>
      <c r="H38" s="1844"/>
    </row>
    <row r="39" spans="1:15" s="130" customFormat="1">
      <c r="A39" s="1156"/>
      <c r="B39" s="158"/>
      <c r="D39" s="1306"/>
      <c r="E39" s="1654"/>
      <c r="H39" s="1844"/>
    </row>
    <row r="40" spans="1:15" s="130" customFormat="1">
      <c r="A40" s="1156"/>
      <c r="B40" s="158"/>
      <c r="D40" s="1306"/>
      <c r="E40" s="1654"/>
      <c r="H40" s="1844"/>
    </row>
    <row r="41" spans="1:15" s="130" customFormat="1">
      <c r="A41" s="1156"/>
      <c r="B41" s="158"/>
      <c r="D41" s="1306"/>
      <c r="E41" s="1654"/>
      <c r="H41" s="1844"/>
    </row>
    <row r="42" spans="1:15" s="1097" customFormat="1" ht="18" hidden="1" customHeight="1">
      <c r="A42" s="1096" t="s">
        <v>1530</v>
      </c>
      <c r="B42" s="1118">
        <v>2</v>
      </c>
      <c r="C42" s="1118">
        <v>1</v>
      </c>
      <c r="D42" s="1119">
        <v>13</v>
      </c>
      <c r="E42" s="1182">
        <v>5</v>
      </c>
      <c r="F42" s="1120">
        <v>3</v>
      </c>
      <c r="G42" s="1121">
        <v>4</v>
      </c>
      <c r="H42" s="1122">
        <v>4</v>
      </c>
      <c r="I42" s="1122">
        <v>4</v>
      </c>
      <c r="J42" s="1123">
        <v>4</v>
      </c>
      <c r="K42" s="1123">
        <v>5</v>
      </c>
      <c r="L42" s="1124">
        <v>4</v>
      </c>
      <c r="M42" s="1124">
        <v>6</v>
      </c>
      <c r="N42" s="1125">
        <v>4</v>
      </c>
      <c r="O42" s="1125">
        <v>7</v>
      </c>
    </row>
    <row r="43" spans="1:15" s="1097" customFormat="1" ht="18" hidden="1" customHeight="1">
      <c r="A43" s="1096" t="str">
        <f>Index!$A$2</f>
        <v>V20181222</v>
      </c>
      <c r="B43" s="1098"/>
      <c r="C43" s="1099"/>
      <c r="D43" s="1100"/>
      <c r="E43" s="1100" t="str">
        <f>$A$42&amp;"_"&amp;E53</f>
        <v>F-31.02_010</v>
      </c>
      <c r="F43" s="1100" t="str">
        <f>$A$42&amp;"_"&amp;F53</f>
        <v>F-31.02_020</v>
      </c>
      <c r="G43" s="1100" t="str">
        <f>$A$42&amp;"_"&amp;G53</f>
        <v>F-31.02_030</v>
      </c>
      <c r="H43" s="1100" t="str">
        <f>$A$42&amp;"_"&amp;H53</f>
        <v>F-31.02_040</v>
      </c>
      <c r="I43" s="1100" t="str">
        <f>$A$42&amp;"_"&amp;I53</f>
        <v>F-31.02_050</v>
      </c>
      <c r="J43" s="1100"/>
      <c r="K43" s="1100"/>
      <c r="L43" s="1100"/>
      <c r="M43" s="1100"/>
      <c r="N43" s="1101"/>
    </row>
    <row r="44" spans="1:15" s="1097" customFormat="1" ht="18" hidden="1" customHeight="1">
      <c r="A44" s="1096" t="str">
        <f>"R:A1:P"&amp;ROW(A77)+1</f>
        <v>R:A1:P78</v>
      </c>
      <c r="B44" s="1102"/>
      <c r="C44" s="1103"/>
      <c r="D44" s="1104"/>
      <c r="E44" s="1105"/>
      <c r="F44" s="1106"/>
      <c r="G44" s="1107"/>
      <c r="I44" s="1107"/>
      <c r="J44" s="1107"/>
      <c r="K44" s="1107"/>
    </row>
    <row r="45" spans="1:15" s="1097" customFormat="1" ht="18" hidden="1" customHeight="1">
      <c r="A45" s="1100" t="s">
        <v>718</v>
      </c>
      <c r="B45" s="1102"/>
      <c r="C45" s="1103"/>
      <c r="D45" s="1108"/>
      <c r="E45" s="1109"/>
      <c r="F45" s="1110"/>
      <c r="G45" s="1111">
        <f>N46</f>
        <v>0</v>
      </c>
      <c r="I45" s="1107"/>
      <c r="J45" s="1107"/>
      <c r="K45" s="1107"/>
    </row>
    <row r="46" spans="1:15" s="1097" customFormat="1" ht="18" hidden="1" customHeight="1">
      <c r="A46" s="1100" t="s">
        <v>718</v>
      </c>
      <c r="B46" s="1102"/>
      <c r="C46" s="1103"/>
      <c r="D46" s="1112"/>
      <c r="E46" s="1113"/>
      <c r="F46" s="1114"/>
      <c r="N46" s="1097">
        <f>COUNTIF(J52:N61,"&lt;&gt;0")-COUNTBLANK(J52:N61)</f>
        <v>0</v>
      </c>
    </row>
    <row r="47" spans="1:15" s="1116" customFormat="1">
      <c r="A47" s="1100" t="s">
        <v>718</v>
      </c>
      <c r="B47" s="1115"/>
    </row>
    <row r="48" spans="1:15" s="1116" customFormat="1">
      <c r="A48" s="1100" t="s">
        <v>718</v>
      </c>
      <c r="B48" s="158" t="s">
        <v>1308</v>
      </c>
    </row>
    <row r="49" spans="1:14" s="130" customFormat="1">
      <c r="A49" s="1100" t="s">
        <v>718</v>
      </c>
      <c r="B49" s="129"/>
      <c r="D49" s="1306"/>
    </row>
    <row r="50" spans="1:14" s="130" customFormat="1" ht="12.75" customHeight="1">
      <c r="A50" s="1100" t="s">
        <v>718</v>
      </c>
      <c r="B50" s="454"/>
      <c r="C50" s="1307"/>
      <c r="D50" s="1992" t="s">
        <v>1624</v>
      </c>
      <c r="E50" s="2128" t="s">
        <v>54</v>
      </c>
      <c r="F50" s="2129"/>
      <c r="G50" s="2129"/>
      <c r="H50" s="2129"/>
      <c r="I50" s="2130"/>
    </row>
    <row r="51" spans="1:14" s="130" customFormat="1" ht="129.75" customHeight="1">
      <c r="A51" s="1100" t="s">
        <v>718</v>
      </c>
      <c r="B51" s="1308"/>
      <c r="C51" s="2131"/>
      <c r="D51" s="1993"/>
      <c r="E51" s="487" t="s">
        <v>1294</v>
      </c>
      <c r="F51" s="487" t="s">
        <v>1295</v>
      </c>
      <c r="G51" s="487" t="s">
        <v>1296</v>
      </c>
      <c r="H51" s="487" t="s">
        <v>1297</v>
      </c>
      <c r="I51" s="487" t="s">
        <v>1298</v>
      </c>
      <c r="J51" s="1309"/>
    </row>
    <row r="52" spans="1:14" s="130" customFormat="1" ht="21">
      <c r="A52" s="1100" t="s">
        <v>718</v>
      </c>
      <c r="B52" s="1308"/>
      <c r="C52" s="2131"/>
      <c r="D52" s="1993"/>
      <c r="E52" s="584" t="s">
        <v>1299</v>
      </c>
      <c r="F52" s="584" t="s">
        <v>1309</v>
      </c>
      <c r="G52" s="584" t="s">
        <v>1310</v>
      </c>
      <c r="H52" s="584" t="s">
        <v>1300</v>
      </c>
      <c r="I52" s="584" t="s">
        <v>1301</v>
      </c>
      <c r="J52" s="1309"/>
    </row>
    <row r="53" spans="1:14" s="130" customFormat="1">
      <c r="A53" s="1100" t="s">
        <v>718</v>
      </c>
      <c r="B53" s="552"/>
      <c r="C53" s="558"/>
      <c r="D53" s="1994"/>
      <c r="E53" s="583" t="s">
        <v>292</v>
      </c>
      <c r="F53" s="583" t="s">
        <v>293</v>
      </c>
      <c r="G53" s="583" t="s">
        <v>294</v>
      </c>
      <c r="H53" s="583" t="s">
        <v>295</v>
      </c>
      <c r="I53" s="583" t="s">
        <v>296</v>
      </c>
      <c r="J53" s="91"/>
    </row>
    <row r="54" spans="1:14" s="130" customFormat="1" ht="27" customHeight="1">
      <c r="A54" s="1156" t="str">
        <f>$A$42&amp;"_"&amp;B54</f>
        <v>F-31.02_010</v>
      </c>
      <c r="B54" s="559" t="s">
        <v>292</v>
      </c>
      <c r="C54" s="1310" t="s">
        <v>139</v>
      </c>
      <c r="D54" s="1311" t="s">
        <v>1625</v>
      </c>
      <c r="E54" s="1893"/>
      <c r="F54" s="1893"/>
      <c r="G54" s="1893"/>
      <c r="H54" s="1893"/>
      <c r="I54" s="1893"/>
      <c r="J54" s="675">
        <f>IF($E$54&gt;=0,0,"F31.2,c10,r10&gt;=0")</f>
        <v>0</v>
      </c>
      <c r="K54" s="675">
        <f>IF($F$54&gt;=0,0,"F31.2,c20,r10&gt;=0")</f>
        <v>0</v>
      </c>
      <c r="L54" s="675">
        <f>IF($G$54&gt;=0,0,"F31.2,c30,r10&gt;=0")</f>
        <v>0</v>
      </c>
      <c r="M54" s="675">
        <f>IF($H$54&gt;=0,0,"F31.2,c40,r10&gt;=0")</f>
        <v>0</v>
      </c>
      <c r="N54" s="675">
        <f>IF($I$54&gt;=0,0,"F31.2,c50,r10&gt;=0")</f>
        <v>0</v>
      </c>
    </row>
    <row r="55" spans="1:14" s="130" customFormat="1" ht="21">
      <c r="A55" s="1156" t="str">
        <f t="shared" ref="A55:A62" si="6">$A$42&amp;"_"&amp;B55</f>
        <v>F-31.02_020</v>
      </c>
      <c r="B55" s="414" t="s">
        <v>293</v>
      </c>
      <c r="C55" s="1312" t="s">
        <v>1311</v>
      </c>
      <c r="D55" s="121" t="s">
        <v>1626</v>
      </c>
      <c r="E55" s="1894"/>
      <c r="F55" s="1894"/>
      <c r="G55" s="1894"/>
      <c r="H55" s="1894"/>
      <c r="I55" s="1894"/>
      <c r="J55" s="675">
        <f>IF($E$55&gt;=0,0,"F31.2,c10,r20&gt;=0")</f>
        <v>0</v>
      </c>
      <c r="K55" s="675">
        <f>IF($F$55&gt;=0,0,"F31.2,c20,r20&gt;=0")</f>
        <v>0</v>
      </c>
      <c r="L55" s="675">
        <f>IF($G$55&gt;=0,0,"F31.2,c30,r20&gt;=0")</f>
        <v>0</v>
      </c>
      <c r="M55" s="675">
        <f>IF($H$55&gt;=0,0,"F31.2,c40,r20&gt;=0")</f>
        <v>0</v>
      </c>
      <c r="N55" s="675">
        <f>IF($I$55&gt;=0,0,"F31.2,c50,r20&gt;=0")</f>
        <v>0</v>
      </c>
    </row>
    <row r="56" spans="1:14" s="130" customFormat="1" ht="21">
      <c r="A56" s="1156" t="str">
        <f t="shared" si="6"/>
        <v>F-31.02_030</v>
      </c>
      <c r="B56" s="560" t="s">
        <v>294</v>
      </c>
      <c r="C56" s="1312" t="s">
        <v>42</v>
      </c>
      <c r="D56" s="121" t="s">
        <v>1627</v>
      </c>
      <c r="E56" s="1894"/>
      <c r="F56" s="1894"/>
      <c r="G56" s="1894"/>
      <c r="H56" s="1894"/>
      <c r="I56" s="1894"/>
      <c r="J56" s="675">
        <f>IF($E$56&gt;=0,0,"F31.2,c10,r30&gt;=0")</f>
        <v>0</v>
      </c>
      <c r="K56" s="675">
        <f>IF($F$56&gt;=0,0,"F31.2,c20,r30&gt;=0")</f>
        <v>0</v>
      </c>
      <c r="L56" s="675">
        <f>IF($G$56&gt;=0,0,"F31.2,c30,r30&gt;=0")</f>
        <v>0</v>
      </c>
      <c r="M56" s="675">
        <f>IF($H$56&gt;=0,0,"F31.2,c40,r30&gt;=0")</f>
        <v>0</v>
      </c>
      <c r="N56" s="675">
        <f>IF($I$56&gt;=0,0,"F31.2,c50,r30&gt;=0")</f>
        <v>0</v>
      </c>
    </row>
    <row r="57" spans="1:14" s="130" customFormat="1">
      <c r="A57" s="1156" t="str">
        <f t="shared" si="6"/>
        <v>F-31.02_040</v>
      </c>
      <c r="B57" s="414" t="s">
        <v>295</v>
      </c>
      <c r="C57" s="1312" t="s">
        <v>43</v>
      </c>
      <c r="D57" s="121" t="s">
        <v>1312</v>
      </c>
      <c r="E57" s="1894"/>
      <c r="F57" s="1894"/>
      <c r="G57" s="1894"/>
      <c r="H57" s="1894"/>
      <c r="I57" s="1894"/>
      <c r="J57" s="675">
        <f>IF($E$57&gt;=0,0,"F31.2,c10,r40&gt;=0")</f>
        <v>0</v>
      </c>
      <c r="K57" s="675">
        <f>IF($F$57&gt;=0,0,"F31.2,c20,r40&gt;=0")</f>
        <v>0</v>
      </c>
      <c r="L57" s="675">
        <f>IF($G$57&gt;=0,0,"F31.2,c30,r40&gt;=0")</f>
        <v>0</v>
      </c>
      <c r="M57" s="675">
        <f>IF($H$57&gt;=0,0,"F31.2,c40,r40&gt;=0")</f>
        <v>0</v>
      </c>
      <c r="N57" s="675">
        <f>IF($I$57&gt;=0,0,"F31.2,c50,r40&gt;=0")</f>
        <v>0</v>
      </c>
    </row>
    <row r="58" spans="1:14" s="130" customFormat="1">
      <c r="A58" s="1156" t="str">
        <f t="shared" si="6"/>
        <v>F-31.02_050</v>
      </c>
      <c r="B58" s="414" t="s">
        <v>296</v>
      </c>
      <c r="C58" s="1312" t="s">
        <v>1313</v>
      </c>
      <c r="D58" s="121" t="s">
        <v>1312</v>
      </c>
      <c r="E58" s="1894"/>
      <c r="F58" s="1894"/>
      <c r="G58" s="1894"/>
      <c r="H58" s="1894"/>
      <c r="I58" s="1894"/>
      <c r="J58" s="675">
        <f>IF($E$58&gt;=0,0,"F31.2,c10,r50&gt;=0")</f>
        <v>0</v>
      </c>
      <c r="K58" s="675">
        <f>IF($F$58&gt;=0,0,"F31.2,c20,r50&gt;=0")</f>
        <v>0</v>
      </c>
      <c r="L58" s="675">
        <f>IF($G$58&gt;=0,0,"F31.2,c30,r50&gt;=0")</f>
        <v>0</v>
      </c>
      <c r="M58" s="675">
        <f>IF($H$58&gt;=0,0,"F31.2,c40,r50&gt;=0")</f>
        <v>0</v>
      </c>
      <c r="N58" s="675">
        <f>IF($I$58&gt;=0,0,"F31.2,c50,r50&gt;=0")</f>
        <v>0</v>
      </c>
    </row>
    <row r="59" spans="1:14" s="130" customFormat="1" ht="21">
      <c r="A59" s="1156" t="str">
        <f t="shared" si="6"/>
        <v>F-31.02_060</v>
      </c>
      <c r="B59" s="414" t="s">
        <v>297</v>
      </c>
      <c r="C59" s="1312" t="s">
        <v>1628</v>
      </c>
      <c r="D59" s="119" t="s">
        <v>1314</v>
      </c>
      <c r="E59" s="1895"/>
      <c r="F59" s="1895"/>
      <c r="G59" s="1895"/>
      <c r="H59" s="1895"/>
      <c r="I59" s="1895"/>
      <c r="J59" s="91"/>
    </row>
    <row r="60" spans="1:14" s="130" customFormat="1" ht="21">
      <c r="A60" s="1156" t="str">
        <f t="shared" si="6"/>
        <v>F-31.02_070</v>
      </c>
      <c r="B60" s="414" t="s">
        <v>298</v>
      </c>
      <c r="C60" s="1312" t="s">
        <v>1629</v>
      </c>
      <c r="D60" s="119" t="s">
        <v>1630</v>
      </c>
      <c r="E60" s="1895"/>
      <c r="F60" s="1895"/>
      <c r="G60" s="1895"/>
      <c r="H60" s="1895"/>
      <c r="I60" s="1895"/>
      <c r="J60" s="1313"/>
    </row>
    <row r="61" spans="1:14" s="130" customFormat="1" ht="21">
      <c r="A61" s="1156" t="str">
        <f t="shared" si="6"/>
        <v>F-31.02_080</v>
      </c>
      <c r="B61" s="1500" t="s">
        <v>299</v>
      </c>
      <c r="C61" s="1314" t="s">
        <v>1631</v>
      </c>
      <c r="D61" s="1272" t="s">
        <v>1632</v>
      </c>
      <c r="E61" s="1895"/>
      <c r="F61" s="1895"/>
      <c r="G61" s="1895"/>
      <c r="H61" s="1895"/>
      <c r="I61" s="1895"/>
      <c r="J61" s="91"/>
    </row>
    <row r="62" spans="1:14" s="130" customFormat="1">
      <c r="A62" s="1156" t="str">
        <f t="shared" si="6"/>
        <v>F-31.02_090</v>
      </c>
      <c r="B62" s="1500" t="s">
        <v>300</v>
      </c>
      <c r="C62" s="1314" t="s">
        <v>1633</v>
      </c>
      <c r="D62" s="1272" t="s">
        <v>1634</v>
      </c>
      <c r="E62" s="1896"/>
      <c r="F62" s="1896"/>
      <c r="G62" s="1896"/>
      <c r="H62" s="1896"/>
      <c r="I62" s="1896"/>
      <c r="J62" s="91"/>
    </row>
    <row r="63" spans="1:14" s="130" customFormat="1">
      <c r="A63" s="1100" t="s">
        <v>718</v>
      </c>
      <c r="B63" s="62"/>
      <c r="C63" s="90"/>
      <c r="D63" s="107"/>
      <c r="E63" s="62"/>
      <c r="F63" s="62"/>
      <c r="G63" s="62"/>
      <c r="H63" s="62"/>
      <c r="I63" s="62"/>
      <c r="J63" s="62"/>
    </row>
    <row r="64" spans="1:14">
      <c r="A64" s="1100" t="s">
        <v>718</v>
      </c>
      <c r="C64" s="1300"/>
      <c r="D64" s="1300"/>
      <c r="E64" s="1300"/>
      <c r="F64" s="1300"/>
      <c r="G64" s="1300"/>
      <c r="H64" s="1300"/>
      <c r="I64" s="1300"/>
    </row>
    <row r="65" spans="1:9">
      <c r="A65" s="1100" t="s">
        <v>718</v>
      </c>
      <c r="C65" s="1300"/>
      <c r="D65" s="1300"/>
      <c r="E65" s="1300"/>
      <c r="F65" s="1300"/>
      <c r="G65" s="1300"/>
      <c r="H65" s="1300"/>
      <c r="I65" s="1300"/>
    </row>
    <row r="66" spans="1:9">
      <c r="A66" s="1100" t="s">
        <v>718</v>
      </c>
      <c r="C66" s="1300"/>
      <c r="D66" s="1300"/>
      <c r="E66" s="1300"/>
      <c r="F66" s="1300"/>
      <c r="G66" s="1300"/>
      <c r="H66" s="1300"/>
      <c r="I66" s="1300"/>
    </row>
    <row r="67" spans="1:9">
      <c r="A67" s="1100" t="s">
        <v>718</v>
      </c>
      <c r="C67" s="1300"/>
      <c r="D67" s="1300"/>
      <c r="E67" s="1300"/>
      <c r="F67" s="1300"/>
      <c r="G67" s="1300"/>
      <c r="H67" s="1300"/>
      <c r="I67" s="1300"/>
    </row>
    <row r="68" spans="1:9">
      <c r="A68" s="1100" t="s">
        <v>718</v>
      </c>
      <c r="C68" s="1300"/>
      <c r="D68" s="1300"/>
      <c r="E68" s="1300"/>
      <c r="F68" s="1300"/>
      <c r="G68" s="1300"/>
      <c r="H68" s="1300"/>
      <c r="I68" s="1300"/>
    </row>
    <row r="69" spans="1:9">
      <c r="A69" s="1100" t="s">
        <v>718</v>
      </c>
      <c r="C69" s="1300"/>
      <c r="D69" s="1300"/>
      <c r="E69" s="1300"/>
      <c r="F69" s="1300"/>
      <c r="G69" s="1300"/>
      <c r="H69" s="1300"/>
      <c r="I69" s="1300"/>
    </row>
    <row r="70" spans="1:9">
      <c r="A70" s="1100" t="s">
        <v>718</v>
      </c>
    </row>
    <row r="71" spans="1:9">
      <c r="A71" s="1156" t="s">
        <v>724</v>
      </c>
    </row>
  </sheetData>
  <sheetProtection password="C2F4" sheet="1" objects="1" scenarios="1"/>
  <mergeCells count="5">
    <mergeCell ref="E50:I50"/>
    <mergeCell ref="C51:C52"/>
    <mergeCell ref="C12:C13"/>
    <mergeCell ref="D11:D14"/>
    <mergeCell ref="D50:D53"/>
  </mergeCells>
  <dataValidations count="2">
    <dataValidation type="whole" allowBlank="1" showInputMessage="1" showErrorMessage="1" error="wrong number format or sign" sqref="E59:I62">
      <formula1>-99999999</formula1>
      <formula2>99999999</formula2>
    </dataValidation>
    <dataValidation type="whole" allowBlank="1" showInputMessage="1" showErrorMessage="1" error="Wrong number format or sign" sqref="E15:I28 E54:I58">
      <formula1>0</formula1>
      <formula2>99999999</formula2>
    </dataValidation>
  </dataValidations>
  <printOptions horizontalCentered="1" headings="1" gridLines="1"/>
  <pageMargins left="0.23622047244094491" right="0.23622047244094491" top="0.48" bottom="0.41" header="0.31496062992125984" footer="0.31496062992125984"/>
  <pageSetup paperSize="9" scale="47" fitToWidth="2" orientation="landscape" cellComments="asDisplayed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56"/>
  <sheetViews>
    <sheetView topLeftCell="B6" zoomScaleNormal="100" zoomScaleSheetLayoutView="100" workbookViewId="0">
      <selection activeCell="B6" sqref="B6"/>
    </sheetView>
  </sheetViews>
  <sheetFormatPr defaultColWidth="9.140625" defaultRowHeight="12.75"/>
  <cols>
    <col min="1" max="1" width="11.42578125" style="1156" hidden="1" customWidth="1"/>
    <col min="2" max="2" width="5" style="666" bestFit="1" customWidth="1"/>
    <col min="3" max="3" width="60.28515625" style="660" customWidth="1"/>
    <col min="4" max="4" width="25.5703125" style="661" customWidth="1"/>
    <col min="5" max="5" width="4.85546875" style="661" bestFit="1" customWidth="1"/>
    <col min="6" max="6" width="14.28515625" style="662" customWidth="1"/>
    <col min="7" max="7" width="40.7109375" style="660" customWidth="1"/>
    <col min="8" max="8" width="38.140625" style="660" customWidth="1"/>
    <col min="9" max="9" width="33.7109375" style="660" customWidth="1"/>
    <col min="10" max="10" width="33.7109375" style="660" bestFit="1" customWidth="1"/>
    <col min="11" max="16384" width="9.140625" style="660"/>
  </cols>
  <sheetData>
    <row r="1" spans="1:15" s="1097" customFormat="1" ht="18" hidden="1" customHeight="1">
      <c r="A1" s="1096" t="s">
        <v>1231</v>
      </c>
      <c r="B1" s="1118">
        <v>2</v>
      </c>
      <c r="C1" s="1118">
        <v>1</v>
      </c>
      <c r="D1" s="1119">
        <v>13</v>
      </c>
      <c r="E1" s="1182">
        <v>6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15" s="1097" customFormat="1" ht="18" hidden="1" customHeight="1">
      <c r="A2" s="1096" t="str">
        <f>Index!$A$2</f>
        <v>V20181222</v>
      </c>
      <c r="B2" s="1098"/>
      <c r="C2" s="1099"/>
      <c r="D2" s="1100"/>
      <c r="E2" s="1100"/>
      <c r="F2" s="1100" t="str">
        <f>$A$1&amp;"_"&amp;F13</f>
        <v>F-01.01_010</v>
      </c>
      <c r="G2" s="1100"/>
      <c r="H2" s="1100"/>
      <c r="I2" s="1100"/>
      <c r="J2" s="1100"/>
      <c r="K2" s="1100"/>
      <c r="L2" s="1100"/>
      <c r="M2" s="1100"/>
      <c r="N2" s="1101"/>
    </row>
    <row r="3" spans="1:15" s="1097" customFormat="1" ht="18" hidden="1" customHeight="1">
      <c r="A3" s="1096" t="str">
        <f>"R:A1:P"&amp;ROW(A52)+1</f>
        <v>R:A1:P53</v>
      </c>
      <c r="B3" s="1102"/>
      <c r="C3" s="1103"/>
      <c r="D3" s="1104"/>
      <c r="E3" s="1105"/>
      <c r="F3" s="1106"/>
      <c r="G3" s="1107"/>
      <c r="H3" s="1107"/>
      <c r="I3" s="1107"/>
      <c r="J3" s="1107"/>
      <c r="K3" s="1107"/>
    </row>
    <row r="4" spans="1:15" s="1097" customFormat="1" ht="18" hidden="1" customHeight="1">
      <c r="A4" s="1096"/>
      <c r="B4" s="1102"/>
      <c r="C4" s="1103"/>
      <c r="D4" s="1108"/>
      <c r="E4" s="1109"/>
      <c r="F4" s="1110"/>
      <c r="G4" s="1111">
        <f>N5</f>
        <v>0</v>
      </c>
      <c r="H4" s="1107"/>
      <c r="I4" s="1107"/>
      <c r="J4" s="1107"/>
      <c r="K4" s="1107"/>
    </row>
    <row r="5" spans="1:15" s="1097" customFormat="1" ht="18" hidden="1" customHeight="1">
      <c r="A5" s="1096"/>
      <c r="B5" s="1102"/>
      <c r="C5" s="1103"/>
      <c r="D5" s="1112"/>
      <c r="E5" s="1113"/>
      <c r="F5" s="1114"/>
      <c r="N5" s="1097">
        <f>COUNTIF(G8:I107,"&lt;&gt;0")-COUNTBLANK(G8:I107)</f>
        <v>0</v>
      </c>
    </row>
    <row r="6" spans="1:15" s="1116" customFormat="1">
      <c r="A6" s="1100" t="s">
        <v>718</v>
      </c>
      <c r="B6" s="1115"/>
    </row>
    <row r="7" spans="1:15">
      <c r="A7" s="1100" t="s">
        <v>718</v>
      </c>
      <c r="B7" s="626" t="s">
        <v>557</v>
      </c>
    </row>
    <row r="8" spans="1:15">
      <c r="A8" s="1100" t="s">
        <v>718</v>
      </c>
      <c r="B8" s="662"/>
    </row>
    <row r="9" spans="1:15">
      <c r="A9" s="1100" t="s">
        <v>718</v>
      </c>
      <c r="B9" s="627" t="s">
        <v>669</v>
      </c>
      <c r="D9" s="628"/>
    </row>
    <row r="10" spans="1:15">
      <c r="A10" s="1100" t="s">
        <v>718</v>
      </c>
    </row>
    <row r="11" spans="1:15" ht="48">
      <c r="A11" s="1100" t="s">
        <v>718</v>
      </c>
      <c r="B11" s="663"/>
      <c r="C11" s="629"/>
      <c r="D11" s="630" t="s">
        <v>551</v>
      </c>
      <c r="E11" s="631" t="s">
        <v>115</v>
      </c>
      <c r="F11" s="357" t="s">
        <v>57</v>
      </c>
    </row>
    <row r="12" spans="1:15" ht="21">
      <c r="A12" s="1100"/>
      <c r="B12" s="1621"/>
      <c r="C12" s="1622"/>
      <c r="D12" s="717"/>
      <c r="E12" s="1623"/>
      <c r="F12" s="1620" t="s">
        <v>604</v>
      </c>
    </row>
    <row r="13" spans="1:15">
      <c r="A13" s="1100" t="s">
        <v>718</v>
      </c>
      <c r="B13" s="664"/>
      <c r="C13" s="632"/>
      <c r="D13" s="633"/>
      <c r="E13" s="634"/>
      <c r="F13" s="635" t="s">
        <v>292</v>
      </c>
    </row>
    <row r="14" spans="1:15" ht="21">
      <c r="A14" s="1156" t="str">
        <f t="shared" ref="A14:A51" si="0">$A$1&amp;"_"&amp;B14</f>
        <v>F-01.01_010</v>
      </c>
      <c r="B14" s="636" t="s">
        <v>292</v>
      </c>
      <c r="C14" s="637" t="s">
        <v>693</v>
      </c>
      <c r="D14" s="16" t="s">
        <v>423</v>
      </c>
      <c r="E14" s="56"/>
      <c r="F14" s="885">
        <f>SUM($F$15:$F$17)</f>
        <v>0</v>
      </c>
      <c r="G14" s="820"/>
      <c r="H14" s="819">
        <f>IF('20'!$G$8="N",0,IF($F$14=SUM('20'!$E$15:$F$15),0,"(F1.1,r10)= sum(F.20.1,r10,c10-20)"))</f>
        <v>0</v>
      </c>
      <c r="I14" s="821"/>
    </row>
    <row r="15" spans="1:15">
      <c r="A15" s="1156" t="str">
        <f t="shared" si="0"/>
        <v>F-01.01_020</v>
      </c>
      <c r="B15" s="639" t="s">
        <v>293</v>
      </c>
      <c r="C15" s="640" t="s">
        <v>56</v>
      </c>
      <c r="D15" s="348" t="s">
        <v>589</v>
      </c>
      <c r="E15" s="56"/>
      <c r="F15" s="887"/>
      <c r="H15" s="1226">
        <f>IF('20'!$G$8="N",0,IF($F$15=SUM('20'!$E$16:$F$16),0,"(F1.1,r20)= sum(F.20.1,r20,c10-20)"))</f>
        <v>0</v>
      </c>
      <c r="I15" s="821"/>
    </row>
    <row r="16" spans="1:15">
      <c r="A16" s="1156" t="str">
        <f t="shared" si="0"/>
        <v>F-01.01_030</v>
      </c>
      <c r="B16" s="642" t="s">
        <v>294</v>
      </c>
      <c r="C16" s="643" t="s">
        <v>142</v>
      </c>
      <c r="D16" s="14" t="s">
        <v>590</v>
      </c>
      <c r="E16" s="1625"/>
      <c r="F16" s="888"/>
      <c r="H16" s="1226">
        <f>IF('20'!$G$8="N",0,IF($F$16=SUM('20'!$E$17:$F$17),0,"(F1.1,r30)= sum(F.20.1,r30,c10-20)"))</f>
        <v>0</v>
      </c>
      <c r="I16" s="821"/>
    </row>
    <row r="17" spans="1:10" ht="12.75" customHeight="1">
      <c r="A17" s="1156" t="str">
        <f t="shared" si="0"/>
        <v>F-01.01_040</v>
      </c>
      <c r="B17" s="642" t="s">
        <v>295</v>
      </c>
      <c r="C17" s="643" t="s">
        <v>424</v>
      </c>
      <c r="D17" s="14" t="s">
        <v>591</v>
      </c>
      <c r="E17" s="1626">
        <v>5</v>
      </c>
      <c r="F17" s="859">
        <f>'5'!I15</f>
        <v>0</v>
      </c>
      <c r="H17" s="1226">
        <f>IF('20'!$G$8="N",0,IF($F$17=SUM('20'!$E$18:$F$18),0,"(F1.1,r40)= sum(F.20.1,r40,c10-20)"))</f>
        <v>0</v>
      </c>
      <c r="I17" s="821"/>
    </row>
    <row r="18" spans="1:10">
      <c r="A18" s="1156" t="str">
        <f t="shared" si="0"/>
        <v>F-01.01_050</v>
      </c>
      <c r="B18" s="645" t="s">
        <v>296</v>
      </c>
      <c r="C18" s="646" t="s">
        <v>58</v>
      </c>
      <c r="D18" s="14" t="s">
        <v>1746</v>
      </c>
      <c r="E18" s="57"/>
      <c r="F18" s="858">
        <f>SUM($F$19:$F$22)</f>
        <v>0</v>
      </c>
      <c r="G18" s="882">
        <f>IF($F$18='4'!E33,0,"{F 01.01, r050, c010}=={F 04.01, r190, c010}")</f>
        <v>0</v>
      </c>
      <c r="H18" s="1226">
        <f>IF('20'!$G$8="N",0,IF($F$18=SUM('20'!$E$19:$F$19),0,"(F1.1,r50)= sum(F.20.1,r50,c10-20)"))</f>
        <v>0</v>
      </c>
      <c r="I18" s="821"/>
      <c r="J18" s="1651"/>
    </row>
    <row r="19" spans="1:10">
      <c r="A19" s="1156" t="str">
        <f t="shared" si="0"/>
        <v>F-01.01_060</v>
      </c>
      <c r="B19" s="639" t="s">
        <v>297</v>
      </c>
      <c r="C19" s="648" t="s">
        <v>121</v>
      </c>
      <c r="D19" s="14" t="s">
        <v>1746</v>
      </c>
      <c r="E19" s="58">
        <v>10</v>
      </c>
      <c r="F19" s="859">
        <f>'10'!$E$43</f>
        <v>0</v>
      </c>
      <c r="G19" s="882">
        <f>IF($F$19='4'!E15,0,"{F 01.01, r060, c010}=={F 04.01, r005, c010}")</f>
        <v>0</v>
      </c>
      <c r="H19" s="1226">
        <f>IF('20'!$G$8="N",0,IF($F$19=SUM('20'!$E$20:$F$20),0,"(F1.1,r60)= sum(F.20.1,r60,c10-20)"))</f>
        <v>0</v>
      </c>
      <c r="I19" s="821"/>
    </row>
    <row r="20" spans="1:10">
      <c r="A20" s="1156" t="str">
        <f t="shared" si="0"/>
        <v>F-01.01_070</v>
      </c>
      <c r="B20" s="645" t="s">
        <v>298</v>
      </c>
      <c r="C20" s="650" t="s">
        <v>59</v>
      </c>
      <c r="D20" s="14" t="s">
        <v>60</v>
      </c>
      <c r="E20" s="58">
        <v>4</v>
      </c>
      <c r="F20" s="859">
        <f>'4'!$E$16</f>
        <v>0</v>
      </c>
      <c r="G20" s="1827">
        <f>IF($F$20&gt;='4'!$E$16,0,"F1.1,r70&gt;=F4.1,r10,c10")</f>
        <v>0</v>
      </c>
      <c r="H20" s="1226">
        <f>IF('20'!$G$8="N",0,IF($F$20=SUM('20'!$E$21:$F$21),0,"(F1.1,r70)= sum(F.20.1,r70,c10-20)"))</f>
        <v>0</v>
      </c>
      <c r="I20" s="1226"/>
    </row>
    <row r="21" spans="1:10">
      <c r="A21" s="1156" t="str">
        <f t="shared" si="0"/>
        <v>F-01.01_080</v>
      </c>
      <c r="B21" s="645" t="s">
        <v>299</v>
      </c>
      <c r="C21" s="650" t="s">
        <v>55</v>
      </c>
      <c r="D21" s="14" t="s">
        <v>595</v>
      </c>
      <c r="E21" s="58">
        <v>4</v>
      </c>
      <c r="F21" s="859">
        <f>'4'!$E$20</f>
        <v>0</v>
      </c>
      <c r="G21" s="883"/>
      <c r="H21" s="1226">
        <f>IF('20'!$G$8="N",0,IF($F$21=SUM('20'!$E$22:$F$22),0,"(F1.1,r80)= sum(F.20.1,r80,c10-20)"))</f>
        <v>0</v>
      </c>
      <c r="I21" s="1226"/>
    </row>
    <row r="22" spans="1:10">
      <c r="A22" s="1156" t="str">
        <f t="shared" si="0"/>
        <v>F-01.01_090</v>
      </c>
      <c r="B22" s="645" t="s">
        <v>300</v>
      </c>
      <c r="C22" s="650" t="s">
        <v>61</v>
      </c>
      <c r="D22" s="14" t="s">
        <v>1576</v>
      </c>
      <c r="E22" s="58">
        <v>4</v>
      </c>
      <c r="F22" s="859">
        <f>'4'!$E$26</f>
        <v>0</v>
      </c>
      <c r="G22" s="883"/>
      <c r="H22" s="1226">
        <f>IF('20'!$G$8="N",0,IF($F$22=SUM('20'!$E$23:$F$23),0,"(F1.1,r90)= sum(F.20.1,r90,c10-20)"))</f>
        <v>0</v>
      </c>
      <c r="I22" s="1226"/>
    </row>
    <row r="23" spans="1:10" ht="21">
      <c r="A23" s="1156" t="str">
        <f t="shared" si="0"/>
        <v>F-01.01_096</v>
      </c>
      <c r="B23" s="1702" t="s">
        <v>1678</v>
      </c>
      <c r="C23" s="1506" t="s">
        <v>1679</v>
      </c>
      <c r="D23" s="14" t="s">
        <v>1671</v>
      </c>
      <c r="E23" s="75">
        <v>4</v>
      </c>
      <c r="F23" s="858">
        <f>SUM($F$24:$F$26)</f>
        <v>0</v>
      </c>
      <c r="G23" s="1640">
        <f>IF($F$23='4'!$E$63,0,"F1.1,r096 = F4.2.1,r180,c10")</f>
        <v>0</v>
      </c>
      <c r="H23" s="1476">
        <f>IF('20'!$G$8="N",0,IF($F23=SUM('20'!$E24:$F24),0,"{F 01.01, c010} = +{F 20.01, c010} + {F 20.01, c020}"))</f>
        <v>0</v>
      </c>
      <c r="I23" s="1476"/>
    </row>
    <row r="24" spans="1:10">
      <c r="A24" s="1156" t="str">
        <f t="shared" si="0"/>
        <v>F-01.01_097</v>
      </c>
      <c r="B24" s="1702" t="s">
        <v>1680</v>
      </c>
      <c r="C24" s="1703" t="s">
        <v>59</v>
      </c>
      <c r="D24" s="14" t="s">
        <v>60</v>
      </c>
      <c r="E24" s="75">
        <v>4</v>
      </c>
      <c r="F24" s="859">
        <f>'4'!E46</f>
        <v>0</v>
      </c>
      <c r="G24" s="1655"/>
      <c r="H24" s="1476">
        <f>IF('20'!$G$8="N",0,IF($F24=SUM('20'!$E25:$F25),0,"{F 01.01, c010} = +{F 20.01, c010} + {F 20.01, c020}"))</f>
        <v>0</v>
      </c>
      <c r="I24" s="1476"/>
    </row>
    <row r="25" spans="1:10">
      <c r="A25" s="1156" t="str">
        <f t="shared" si="0"/>
        <v>F-01.01_098</v>
      </c>
      <c r="B25" s="1702" t="s">
        <v>1681</v>
      </c>
      <c r="C25" s="1703" t="s">
        <v>55</v>
      </c>
      <c r="D25" s="14" t="s">
        <v>595</v>
      </c>
      <c r="E25" s="75">
        <v>4</v>
      </c>
      <c r="F25" s="859">
        <f>'4'!E50</f>
        <v>0</v>
      </c>
      <c r="G25" s="1624"/>
      <c r="H25" s="1476">
        <f>IF('20'!$G$8="N",0,IF($F25=SUM('20'!$E26:$F26),0,"{F 01.01, c010} = +{F 20.01, c010} + {F 20.01, c020}"))</f>
        <v>0</v>
      </c>
      <c r="I25" s="1476"/>
    </row>
    <row r="26" spans="1:10">
      <c r="A26" s="1156" t="str">
        <f t="shared" si="0"/>
        <v>F-01.01_099</v>
      </c>
      <c r="B26" s="1702" t="s">
        <v>1682</v>
      </c>
      <c r="C26" s="1703" t="s">
        <v>61</v>
      </c>
      <c r="D26" s="14" t="s">
        <v>1576</v>
      </c>
      <c r="E26" s="75">
        <v>4</v>
      </c>
      <c r="F26" s="859">
        <f>'4'!E56</f>
        <v>0</v>
      </c>
      <c r="G26" s="1624"/>
      <c r="H26" s="1476">
        <f>IF('20'!$G$8="N",0,IF($F26=SUM('20'!$E27:$F27),0,"{F 01.01, c010} = +{F 20.01, c010} + {F 20.01, c020}"))</f>
        <v>0</v>
      </c>
      <c r="I26" s="1476"/>
    </row>
    <row r="27" spans="1:10" ht="21">
      <c r="A27" s="1156" t="str">
        <f t="shared" si="0"/>
        <v>F-01.01_100</v>
      </c>
      <c r="B27" s="645" t="s">
        <v>301</v>
      </c>
      <c r="C27" s="646" t="s">
        <v>62</v>
      </c>
      <c r="D27" s="17" t="s">
        <v>1580</v>
      </c>
      <c r="E27" s="651">
        <v>4</v>
      </c>
      <c r="F27" s="858">
        <f>SUM($F$28:$F$29)</f>
        <v>0</v>
      </c>
      <c r="G27" s="1226">
        <f>IF($F$27='4'!$E$89,0,"F1.1,r100 = F4.2.2,r190,c10")</f>
        <v>0</v>
      </c>
      <c r="H27" s="1226">
        <f>IF('20'!$G$8="N",0,IF($F$27=SUM('20'!$E$28:$F$28),0,"(F1.1,r100)= sum(F.20.1,r100,c10-20)"))</f>
        <v>0</v>
      </c>
      <c r="I27" s="1226"/>
    </row>
    <row r="28" spans="1:10">
      <c r="A28" s="1156" t="str">
        <f t="shared" si="0"/>
        <v>F-01.01_120</v>
      </c>
      <c r="B28" s="642" t="s">
        <v>303</v>
      </c>
      <c r="C28" s="650" t="s">
        <v>55</v>
      </c>
      <c r="D28" s="14" t="s">
        <v>595</v>
      </c>
      <c r="E28" s="651">
        <v>4</v>
      </c>
      <c r="F28" s="859">
        <f>'4'!$E$76</f>
        <v>0</v>
      </c>
      <c r="H28" s="1226">
        <f>IF('20'!$G$8="N",0,IF($F$28=SUM('20'!$E$29:$F$29),0,"(F1.1,r120)= sum(F.20.1,r120,c10-20)"))</f>
        <v>0</v>
      </c>
      <c r="I28" s="1226"/>
    </row>
    <row r="29" spans="1:10">
      <c r="A29" s="1156" t="str">
        <f t="shared" si="0"/>
        <v>F-01.01_130</v>
      </c>
      <c r="B29" s="642" t="s">
        <v>304</v>
      </c>
      <c r="C29" s="650" t="s">
        <v>61</v>
      </c>
      <c r="D29" s="14" t="s">
        <v>1576</v>
      </c>
      <c r="E29" s="652">
        <v>4</v>
      </c>
      <c r="F29" s="859">
        <f>'4'!$E$82</f>
        <v>0</v>
      </c>
      <c r="G29" s="1226">
        <f>IF('20'!$G$8="N",0,IF($F$29=SUM('20'!$E$30:$F$30),0,"f1.1,R130= sum(f20.1,r130,c10-20)"))</f>
        <v>0</v>
      </c>
      <c r="H29" s="1226"/>
      <c r="I29" s="1226"/>
    </row>
    <row r="30" spans="1:10" ht="21">
      <c r="A30" s="1156" t="str">
        <f t="shared" si="0"/>
        <v>F-01.01_141</v>
      </c>
      <c r="B30" s="361">
        <v>141</v>
      </c>
      <c r="C30" s="1506" t="s">
        <v>1683</v>
      </c>
      <c r="D30" s="14" t="s">
        <v>1672</v>
      </c>
      <c r="E30" s="58">
        <v>4</v>
      </c>
      <c r="F30" s="858">
        <f>SUM($F$31:$F$33)</f>
        <v>0</v>
      </c>
      <c r="G30" s="1828">
        <f>IF($F$30='4'!$E$121,0,"{F 01.01, r141, c010}=={F 04.03.1, r180, c010}")</f>
        <v>0</v>
      </c>
      <c r="H30" s="1476">
        <f>IF('20'!$G$8="N",0,IF($F30=SUM('20'!$E31:$F31),0,"{F 01.01, c010} = +{F 20.01, c010} + {F 20.01, c020}"))</f>
        <v>0</v>
      </c>
      <c r="I30" s="1476"/>
    </row>
    <row r="31" spans="1:10">
      <c r="A31" s="1156" t="str">
        <f t="shared" si="0"/>
        <v>F-01.01_142</v>
      </c>
      <c r="B31" s="361">
        <v>142</v>
      </c>
      <c r="C31" s="8" t="s">
        <v>59</v>
      </c>
      <c r="D31" s="14" t="s">
        <v>60</v>
      </c>
      <c r="E31" s="58">
        <v>4</v>
      </c>
      <c r="F31" s="859">
        <f>'4'!E104</f>
        <v>0</v>
      </c>
      <c r="G31" s="1829"/>
      <c r="H31" s="1476">
        <f>IF('20'!$G$8="N",0,IF($F31=SUM('20'!$E32:$F32),0,"{F 01.01, c010} = +{F 20.01, c010} + {F 20.01, c020}"))</f>
        <v>0</v>
      </c>
      <c r="I31" s="1476"/>
    </row>
    <row r="32" spans="1:10">
      <c r="A32" s="1156" t="str">
        <f t="shared" si="0"/>
        <v>F-01.01_143</v>
      </c>
      <c r="B32" s="361">
        <v>143</v>
      </c>
      <c r="C32" s="8" t="s">
        <v>55</v>
      </c>
      <c r="D32" s="14" t="s">
        <v>595</v>
      </c>
      <c r="E32" s="58">
        <v>4</v>
      </c>
      <c r="F32" s="859">
        <f>'4'!E108</f>
        <v>0</v>
      </c>
      <c r="G32" s="1829"/>
      <c r="H32" s="1476">
        <f>IF('20'!$G$8="N",0,IF($F32=SUM('20'!$E33:$F33),0,"{F 01.01, c010} = +{F 20.01, c010} + {F 20.01, c020}"))</f>
        <v>0</v>
      </c>
      <c r="I32" s="1476"/>
    </row>
    <row r="33" spans="1:9">
      <c r="A33" s="1156" t="str">
        <f t="shared" si="0"/>
        <v>F-01.01_144</v>
      </c>
      <c r="B33" s="361">
        <v>144</v>
      </c>
      <c r="C33" s="8" t="s">
        <v>61</v>
      </c>
      <c r="D33" s="14" t="s">
        <v>1576</v>
      </c>
      <c r="E33" s="58">
        <v>4</v>
      </c>
      <c r="F33" s="859">
        <f>'4'!E114</f>
        <v>0</v>
      </c>
      <c r="G33" s="1829"/>
      <c r="H33" s="1476">
        <f>IF('20'!$G$8="N",0,IF($F33=SUM('20'!$E34:$F34),0,"{F 01.01, c010} = +{F 20.01, c010} + {F 20.01, c020}"))</f>
        <v>0</v>
      </c>
      <c r="I33" s="1476"/>
    </row>
    <row r="34" spans="1:9">
      <c r="A34" s="1156" t="str">
        <f t="shared" si="0"/>
        <v>F-01.01_181</v>
      </c>
      <c r="B34" s="361">
        <v>181</v>
      </c>
      <c r="C34" s="1506" t="s">
        <v>1572</v>
      </c>
      <c r="D34" s="14" t="s">
        <v>1573</v>
      </c>
      <c r="E34" s="58">
        <v>4</v>
      </c>
      <c r="F34" s="858">
        <f>SUM($F$35:$F$36)</f>
        <v>0</v>
      </c>
      <c r="G34" s="1828"/>
      <c r="H34" s="1476">
        <f>IF('20'!$G$8="N",0,IF($F34=SUM('20'!$E35:$F35),0,"{F 01.01, c010} = +{F 20.01, c010} + {F 20.01, c020}"))</f>
        <v>0</v>
      </c>
      <c r="I34" s="1476"/>
    </row>
    <row r="35" spans="1:9">
      <c r="A35" s="1156" t="str">
        <f t="shared" si="0"/>
        <v>F-01.01_182</v>
      </c>
      <c r="B35" s="361">
        <v>182</v>
      </c>
      <c r="C35" s="8" t="s">
        <v>55</v>
      </c>
      <c r="D35" s="14" t="s">
        <v>595</v>
      </c>
      <c r="E35" s="58">
        <v>4</v>
      </c>
      <c r="F35" s="859">
        <f>'4'!E142</f>
        <v>0</v>
      </c>
      <c r="G35" s="1829"/>
      <c r="H35" s="1476">
        <f>IF('20'!$G$8="N",0,IF($F35=SUM('20'!$E36:$F36),0,"{F 01.01, c010} = +{F 20.01, c010} + {F 20.01, c020}"))</f>
        <v>0</v>
      </c>
      <c r="I35" s="1476"/>
    </row>
    <row r="36" spans="1:9">
      <c r="A36" s="1156" t="str">
        <f t="shared" si="0"/>
        <v>F-01.01_183</v>
      </c>
      <c r="B36" s="361">
        <v>183</v>
      </c>
      <c r="C36" s="8" t="s">
        <v>61</v>
      </c>
      <c r="D36" s="14" t="s">
        <v>1576</v>
      </c>
      <c r="E36" s="58">
        <v>4</v>
      </c>
      <c r="F36" s="859">
        <f>'4'!E148</f>
        <v>0</v>
      </c>
      <c r="G36" s="1829"/>
      <c r="H36" s="1476">
        <f>IF('20'!$G$8="N",0,IF($F36=SUM('20'!$E37:$F37),0,"{F 01.01, c010} = +{F 20.01, c010} + {F 20.01, c020}"))</f>
        <v>0</v>
      </c>
      <c r="I36" s="1476"/>
    </row>
    <row r="37" spans="1:9" ht="21">
      <c r="A37" s="1156" t="str">
        <f t="shared" si="0"/>
        <v>F-01.01_240</v>
      </c>
      <c r="B37" s="645">
        <v>240</v>
      </c>
      <c r="C37" s="653" t="s">
        <v>5</v>
      </c>
      <c r="D37" s="14" t="s">
        <v>1673</v>
      </c>
      <c r="E37" s="58">
        <v>11</v>
      </c>
      <c r="F37" s="974"/>
      <c r="G37" s="1463"/>
      <c r="H37" s="1226">
        <f>IF('20'!$G$8="N",0,IF($F$37=SUM('20'!$E$38:$F$38),0,"(F1.1,r240)= sum(F.20.1,r240,c10-20)"))</f>
        <v>0</v>
      </c>
      <c r="I37" s="821"/>
    </row>
    <row r="38" spans="1:9" ht="21">
      <c r="A38" s="1156" t="str">
        <f t="shared" si="0"/>
        <v>F-01.01_250</v>
      </c>
      <c r="B38" s="645">
        <v>250</v>
      </c>
      <c r="C38" s="646" t="s">
        <v>112</v>
      </c>
      <c r="D38" s="14" t="s">
        <v>1674</v>
      </c>
      <c r="E38" s="57"/>
      <c r="F38" s="974"/>
      <c r="H38" s="1226">
        <f>IF('20'!$G$8="N",0,IF($F$38=SUM('20'!$E$39:$F$39),0,"(F1.1,r250)= sum(F.20.1,r250,c10-20)"))</f>
        <v>0</v>
      </c>
      <c r="I38" s="821"/>
    </row>
    <row r="39" spans="1:9" ht="21">
      <c r="A39" s="1156" t="str">
        <f t="shared" si="0"/>
        <v>F-01.01_260</v>
      </c>
      <c r="B39" s="645">
        <v>260</v>
      </c>
      <c r="C39" s="646" t="s">
        <v>357</v>
      </c>
      <c r="D39" s="17" t="s">
        <v>1675</v>
      </c>
      <c r="E39" s="57">
        <v>40</v>
      </c>
      <c r="F39" s="974"/>
      <c r="H39" s="1640">
        <f>IF('20'!$G$8="N",0,IF($F$39=SUM('20'!$E$42:$F$42),0,"(F1.1,r260)= sum(F.20.1,r280,c10-20)"))</f>
        <v>0</v>
      </c>
      <c r="I39" s="821"/>
    </row>
    <row r="40" spans="1:9">
      <c r="A40" s="1156" t="str">
        <f t="shared" si="0"/>
        <v>F-01.01_270</v>
      </c>
      <c r="B40" s="645">
        <v>270</v>
      </c>
      <c r="C40" s="653" t="s">
        <v>64</v>
      </c>
      <c r="D40" s="1627"/>
      <c r="E40" s="57"/>
      <c r="F40" s="858">
        <f>SUM($F$41:$F$42)</f>
        <v>0</v>
      </c>
      <c r="H40" s="1640">
        <f>IF('20'!$G$8="N",0,IF($F$40=SUM('20'!$E$40:$F$40),0,"(F1.1,r270)= sum(F.20.1,r260,c10-20)"))</f>
        <v>0</v>
      </c>
      <c r="I40" s="821"/>
    </row>
    <row r="41" spans="1:9" ht="21">
      <c r="A41" s="1156" t="str">
        <f t="shared" si="0"/>
        <v>F-01.01_280</v>
      </c>
      <c r="B41" s="645">
        <v>280</v>
      </c>
      <c r="C41" s="656" t="s">
        <v>65</v>
      </c>
      <c r="D41" s="17" t="s">
        <v>539</v>
      </c>
      <c r="E41" s="57" t="s">
        <v>592</v>
      </c>
      <c r="F41" s="888"/>
      <c r="H41" s="1226"/>
      <c r="I41" s="821"/>
    </row>
    <row r="42" spans="1:9" ht="21">
      <c r="A42" s="1156" t="str">
        <f t="shared" si="0"/>
        <v>F-01.01_290</v>
      </c>
      <c r="B42" s="645">
        <v>290</v>
      </c>
      <c r="C42" s="656" t="s">
        <v>66</v>
      </c>
      <c r="D42" s="17" t="s">
        <v>540</v>
      </c>
      <c r="E42" s="57" t="s">
        <v>592</v>
      </c>
      <c r="F42" s="888"/>
      <c r="H42" s="1226"/>
      <c r="I42" s="821"/>
    </row>
    <row r="43" spans="1:9" ht="21">
      <c r="A43" s="1156" t="str">
        <f t="shared" si="0"/>
        <v>F-01.01_300</v>
      </c>
      <c r="B43" s="645">
        <v>300</v>
      </c>
      <c r="C43" s="653" t="s">
        <v>67</v>
      </c>
      <c r="D43" s="17" t="s">
        <v>681</v>
      </c>
      <c r="E43" s="57"/>
      <c r="F43" s="858">
        <f>SUM($F$44:$F$45)</f>
        <v>0</v>
      </c>
      <c r="H43" s="1640">
        <f>IF('20'!$G$8="N",0,IF($F$43=SUM('20'!$E$41:$F$41),0,"(F1.1,r300)= sum(F.20.1,r270,c10-20)"))</f>
        <v>0</v>
      </c>
      <c r="I43" s="821"/>
    </row>
    <row r="44" spans="1:9" ht="21">
      <c r="A44" s="1156" t="str">
        <f t="shared" si="0"/>
        <v>F-01.01_310</v>
      </c>
      <c r="B44" s="645">
        <v>310</v>
      </c>
      <c r="C44" s="656" t="s">
        <v>68</v>
      </c>
      <c r="D44" s="17" t="s">
        <v>682</v>
      </c>
      <c r="E44" s="1628"/>
      <c r="F44" s="888"/>
      <c r="H44" s="1226"/>
      <c r="I44" s="821"/>
    </row>
    <row r="45" spans="1:9" ht="21">
      <c r="A45" s="1156" t="str">
        <f t="shared" si="0"/>
        <v>F-01.01_320</v>
      </c>
      <c r="B45" s="645">
        <v>320</v>
      </c>
      <c r="C45" s="656" t="s">
        <v>69</v>
      </c>
      <c r="D45" s="17" t="s">
        <v>34</v>
      </c>
      <c r="E45" s="57" t="s">
        <v>592</v>
      </c>
      <c r="F45" s="888"/>
      <c r="H45" s="1226"/>
      <c r="I45" s="821"/>
    </row>
    <row r="46" spans="1:9">
      <c r="A46" s="1156" t="str">
        <f t="shared" si="0"/>
        <v>F-01.01_330</v>
      </c>
      <c r="B46" s="645">
        <v>330</v>
      </c>
      <c r="C46" s="653" t="s">
        <v>71</v>
      </c>
      <c r="D46" s="17" t="s">
        <v>507</v>
      </c>
      <c r="E46" s="57"/>
      <c r="F46" s="858">
        <f>SUM($F$47:$F$48)</f>
        <v>0</v>
      </c>
      <c r="H46" s="1226">
        <f>IF('20'!$G$8="N",0,IF($F$46=SUM('20'!$E$43:$F$43),0,"(F1.1,r330)= sum(F20.1,r290,c10-20)"))</f>
        <v>0</v>
      </c>
      <c r="I46" s="821"/>
    </row>
    <row r="47" spans="1:9">
      <c r="A47" s="1156" t="str">
        <f t="shared" si="0"/>
        <v>F-01.01_340</v>
      </c>
      <c r="B47" s="645">
        <v>340</v>
      </c>
      <c r="C47" s="656" t="s">
        <v>72</v>
      </c>
      <c r="D47" s="17" t="s">
        <v>508</v>
      </c>
      <c r="E47" s="57"/>
      <c r="F47" s="888"/>
      <c r="I47" s="821"/>
    </row>
    <row r="48" spans="1:9" ht="21">
      <c r="A48" s="1156" t="str">
        <f t="shared" si="0"/>
        <v>F-01.01_350</v>
      </c>
      <c r="B48" s="645">
        <v>350</v>
      </c>
      <c r="C48" s="656" t="s">
        <v>73</v>
      </c>
      <c r="D48" s="17" t="s">
        <v>686</v>
      </c>
      <c r="E48" s="57"/>
      <c r="F48" s="888"/>
      <c r="I48" s="821"/>
    </row>
    <row r="49" spans="1:9">
      <c r="A49" s="1156" t="str">
        <f t="shared" si="0"/>
        <v>F-01.01_360</v>
      </c>
      <c r="B49" s="645">
        <v>360</v>
      </c>
      <c r="C49" s="653" t="s">
        <v>74</v>
      </c>
      <c r="D49" s="17" t="s">
        <v>593</v>
      </c>
      <c r="E49" s="57"/>
      <c r="F49" s="974"/>
      <c r="H49" s="1226">
        <f>IF('20'!$G$8="N",0,IF($F$49=SUM('20'!$E$44:$F$44),0,"(F1.1,r360)= sum(F20.1,r300,c10-20)"))</f>
        <v>0</v>
      </c>
      <c r="I49" s="821"/>
    </row>
    <row r="50" spans="1:9" ht="21">
      <c r="A50" s="1156" t="str">
        <f t="shared" si="0"/>
        <v>F-01.01_370</v>
      </c>
      <c r="B50" s="657">
        <v>370</v>
      </c>
      <c r="C50" s="646" t="s">
        <v>75</v>
      </c>
      <c r="D50" s="17" t="s">
        <v>1676</v>
      </c>
      <c r="E50" s="57"/>
      <c r="F50" s="974"/>
      <c r="H50" s="1226">
        <f>IF('20'!$G$8="N",0,IF($F$50=SUM('20'!$E$45:$F$45),0,"(F1.1,r370)= sum(F20.1,r310,c10-20)"))</f>
        <v>0</v>
      </c>
      <c r="I50" s="821"/>
    </row>
    <row r="51" spans="1:9">
      <c r="A51" s="1156" t="str">
        <f t="shared" si="0"/>
        <v>F-01.01_380</v>
      </c>
      <c r="B51" s="658">
        <v>380</v>
      </c>
      <c r="C51" s="659" t="s">
        <v>415</v>
      </c>
      <c r="D51" s="18" t="s">
        <v>541</v>
      </c>
      <c r="E51" s="1618"/>
      <c r="F51" s="860">
        <f>SUM($F$14,$F$18,$F$23,$F$27,$F$30,$F$34,$F$37,$F$38,$F$39,$F$40,$F$43,$F$46,$F$49,$F$50)</f>
        <v>0</v>
      </c>
      <c r="G51" s="1969">
        <f>IF($F$51='1.3'!$F$53+'1.2'!$F$43,0,"F01.01, r380,c010= F01.03,r300,c010+ F01.02, r300, c010")</f>
        <v>0</v>
      </c>
      <c r="H51" s="1970">
        <f>IF('20'!$G$8="N",0,IF($F$51=SUM('20'!$E$46:$F$46),0,"(F1.1,r380)= sum(F20.1,r320,c10-20)"))</f>
        <v>0</v>
      </c>
      <c r="I51" s="1476"/>
    </row>
    <row r="52" spans="1:9">
      <c r="A52" s="1156" t="s">
        <v>724</v>
      </c>
      <c r="G52" s="1969"/>
      <c r="H52" s="1970"/>
    </row>
    <row r="53" spans="1:9">
      <c r="G53" s="1969"/>
      <c r="H53" s="1970"/>
    </row>
    <row r="54" spans="1:9">
      <c r="G54" s="1969"/>
      <c r="H54" s="1970"/>
    </row>
    <row r="55" spans="1:9">
      <c r="G55" s="818"/>
    </row>
    <row r="56" spans="1:9">
      <c r="G56" s="818"/>
    </row>
  </sheetData>
  <sheetProtection password="C2F4" sheet="1" objects="1" scenarios="1"/>
  <mergeCells count="2">
    <mergeCell ref="G51:G54"/>
    <mergeCell ref="H51:H54"/>
  </mergeCells>
  <dataValidations count="2">
    <dataValidation type="whole" allowBlank="1" showInputMessage="1" showErrorMessage="1" error="Wrong number format, or sign" sqref="G11:G12">
      <formula1>-99999999</formula1>
      <formula2>0</formula2>
    </dataValidation>
    <dataValidation type="whole" allowBlank="1" showInputMessage="1" showErrorMessage="1" error="Wrong number format or sign" sqref="F14:F51">
      <formula1>0</formula1>
      <formula2>99999999</formula2>
    </dataValidation>
  </dataValidations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scale="52" orientation="landscape" cellComments="asDisplayed" r:id="rId1"/>
  <headerFooter scaleWithDoc="0" alignWithMargins="0"/>
  <ignoredErrors>
    <ignoredError sqref="B37:B51 B14:B22 B27 B28:B29" numberStoredAsText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AH859"/>
  <sheetViews>
    <sheetView topLeftCell="B7" zoomScaleNormal="100" zoomScaleSheetLayoutView="90" workbookViewId="0">
      <selection activeCell="B7" sqref="B7"/>
    </sheetView>
  </sheetViews>
  <sheetFormatPr defaultColWidth="9.140625" defaultRowHeight="12.75"/>
  <cols>
    <col min="1" max="1" width="13.5703125" style="1156" hidden="1" customWidth="1"/>
    <col min="2" max="2" width="49.5703125" style="1319" bestFit="1" customWidth="1"/>
    <col min="3" max="3" width="19.140625" style="1319" customWidth="1"/>
    <col min="4" max="4" width="30.42578125" style="1319" customWidth="1"/>
    <col min="5" max="5" width="15" style="1319" bestFit="1" customWidth="1"/>
    <col min="6" max="6" width="17.7109375" style="1319" customWidth="1"/>
    <col min="7" max="7" width="24.28515625" style="1319" bestFit="1" customWidth="1"/>
    <col min="8" max="8" width="15" style="1319" bestFit="1" customWidth="1"/>
    <col min="9" max="9" width="12.42578125" style="1319" bestFit="1" customWidth="1"/>
    <col min="10" max="10" width="14.7109375" style="1319" bestFit="1" customWidth="1"/>
    <col min="11" max="11" width="12.5703125" style="1319" customWidth="1"/>
    <col min="12" max="12" width="12.140625" style="1319" bestFit="1" customWidth="1"/>
    <col min="13" max="13" width="17.28515625" style="1319" bestFit="1" customWidth="1"/>
    <col min="14" max="14" width="16.140625" style="1319" customWidth="1"/>
    <col min="15" max="15" width="13.5703125" style="1319" customWidth="1"/>
    <col min="16" max="16" width="13.42578125" style="1319" bestFit="1" customWidth="1"/>
    <col min="17" max="17" width="14.5703125" style="1319" customWidth="1"/>
    <col min="18" max="18" width="14.140625" style="1319" customWidth="1"/>
    <col min="19" max="19" width="14" style="1319" customWidth="1"/>
    <col min="20" max="20" width="14.28515625" style="1319" customWidth="1"/>
    <col min="21" max="21" width="15.7109375" style="1319" customWidth="1"/>
    <col min="22" max="27" width="9.7109375" style="1319" customWidth="1"/>
    <col min="28" max="28" width="11.7109375" style="1319" customWidth="1"/>
    <col min="29" max="32" width="9.7109375" style="1319" customWidth="1"/>
    <col min="33" max="16384" width="9.140625" style="1319"/>
  </cols>
  <sheetData>
    <row r="1" spans="1:34" s="1097" customFormat="1" ht="18" hidden="1" customHeight="1">
      <c r="A1" s="1096" t="s">
        <v>1531</v>
      </c>
      <c r="B1" s="1118">
        <v>2</v>
      </c>
      <c r="C1" s="1118">
        <v>1</v>
      </c>
      <c r="D1" s="1119">
        <v>15</v>
      </c>
      <c r="E1" s="1182">
        <v>2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34" s="1097" customFormat="1" ht="18" hidden="1" customHeight="1">
      <c r="A2" s="1096" t="str">
        <f>Index!$A$2</f>
        <v>V20181222</v>
      </c>
      <c r="B2" s="1100" t="str">
        <f>$A$1&amp;"_"&amp;B14</f>
        <v>F-40.01_010</v>
      </c>
      <c r="C2" s="1100" t="str">
        <f>$A$1&amp;"_"&amp;C14</f>
        <v>F-40.01_020</v>
      </c>
      <c r="D2" s="1100" t="str">
        <f>$A$1&amp;"_"&amp;D14</f>
        <v>F-40.01_030</v>
      </c>
      <c r="E2" s="1100" t="str">
        <f>$A$1&amp;"_"&amp;E14</f>
        <v>F-40.01_040</v>
      </c>
      <c r="F2" s="1100" t="str">
        <f t="shared" ref="F2:U2" si="0">$A$1&amp;"_"&amp;F14</f>
        <v>F-40.01_050</v>
      </c>
      <c r="G2" s="1100" t="str">
        <f t="shared" si="0"/>
        <v>F-40.01_060</v>
      </c>
      <c r="H2" s="1100" t="str">
        <f t="shared" si="0"/>
        <v>F-40.01_070</v>
      </c>
      <c r="I2" s="1100" t="str">
        <f t="shared" si="0"/>
        <v>F-40.01_080</v>
      </c>
      <c r="J2" s="1100" t="str">
        <f t="shared" si="0"/>
        <v>F-40.01_090</v>
      </c>
      <c r="K2" s="1100" t="str">
        <f t="shared" si="0"/>
        <v>F-40.01_095</v>
      </c>
      <c r="L2" s="1100" t="str">
        <f t="shared" si="0"/>
        <v>F-40.01_100</v>
      </c>
      <c r="M2" s="1100" t="str">
        <f t="shared" si="0"/>
        <v>F-40.01_110</v>
      </c>
      <c r="N2" s="1100" t="str">
        <f t="shared" si="0"/>
        <v>F-40.01_120</v>
      </c>
      <c r="O2" s="1100" t="str">
        <f t="shared" si="0"/>
        <v>F-40.01_130</v>
      </c>
      <c r="P2" s="1100" t="str">
        <f t="shared" si="0"/>
        <v>F-40.01_140</v>
      </c>
      <c r="Q2" s="1100" t="str">
        <f t="shared" si="0"/>
        <v>F-40.01_150</v>
      </c>
      <c r="R2" s="1100" t="str">
        <f t="shared" si="0"/>
        <v>F-40.01_160</v>
      </c>
      <c r="S2" s="1100" t="str">
        <f t="shared" si="0"/>
        <v>F-40.01_170</v>
      </c>
      <c r="T2" s="1100" t="str">
        <f t="shared" si="0"/>
        <v>F-40.01_180</v>
      </c>
      <c r="U2" s="1100" t="str">
        <f t="shared" si="0"/>
        <v>F-40.01_190</v>
      </c>
    </row>
    <row r="3" spans="1:34" s="1097" customFormat="1" ht="18" hidden="1" customHeight="1">
      <c r="A3" s="1096" t="str">
        <f>"R:A1:AI"&amp;ROW(A854)+1</f>
        <v>R:A1:AI855</v>
      </c>
      <c r="B3" s="1102"/>
      <c r="C3" s="1103"/>
      <c r="D3" s="1104"/>
      <c r="E3" s="1105"/>
      <c r="F3" s="1106"/>
      <c r="G3" s="1107"/>
      <c r="H3" s="1107"/>
      <c r="I3" s="1107"/>
      <c r="J3" s="1107"/>
      <c r="K3" s="1107"/>
    </row>
    <row r="4" spans="1:34" s="1097" customFormat="1" ht="18" hidden="1" customHeight="1">
      <c r="A4" s="1096"/>
      <c r="B4" s="1102"/>
      <c r="C4" s="1103"/>
      <c r="D4" s="1108"/>
      <c r="E4" s="1109"/>
      <c r="F4" s="1110"/>
      <c r="G4" s="1111">
        <f>N5</f>
        <v>0</v>
      </c>
      <c r="H4" s="1107"/>
      <c r="I4" s="1107"/>
      <c r="J4" s="1107"/>
      <c r="K4" s="1107"/>
    </row>
    <row r="5" spans="1:34" s="1097" customFormat="1" ht="18" hidden="1" customHeight="1">
      <c r="A5" s="1096"/>
      <c r="B5" s="1102"/>
      <c r="C5" s="1103"/>
      <c r="D5" s="1112"/>
      <c r="E5" s="1113"/>
      <c r="F5" s="1114"/>
      <c r="N5" s="1097">
        <f>COUNTIF(V15:AI416,"&lt;&gt;0")-COUNTBLANK(V15:AI416)</f>
        <v>0</v>
      </c>
    </row>
    <row r="6" spans="1:34" s="1097" customFormat="1" ht="18" hidden="1" customHeight="1">
      <c r="A6" s="1096"/>
      <c r="B6" s="1102"/>
      <c r="C6" s="1103"/>
      <c r="D6" s="1112"/>
      <c r="E6" s="1113"/>
      <c r="F6" s="1114"/>
    </row>
    <row r="7" spans="1:34" s="1116" customFormat="1" ht="25.5" customHeight="1">
      <c r="A7" s="1100" t="s">
        <v>718</v>
      </c>
      <c r="B7" s="1115"/>
    </row>
    <row r="8" spans="1:34">
      <c r="A8" s="1100" t="s">
        <v>718</v>
      </c>
      <c r="B8" s="1316" t="s">
        <v>1315</v>
      </c>
      <c r="C8" s="1317"/>
      <c r="D8" s="1317"/>
      <c r="E8" s="1318"/>
      <c r="F8" s="1318"/>
      <c r="G8" s="1315"/>
      <c r="H8" s="1462"/>
      <c r="I8" s="1315"/>
      <c r="J8" s="1315"/>
      <c r="K8" s="1315"/>
      <c r="L8" s="1315"/>
      <c r="M8" s="1318"/>
      <c r="N8" s="1315"/>
      <c r="O8" s="1315"/>
      <c r="P8" s="1315"/>
      <c r="Q8" s="1315"/>
      <c r="R8" s="1315"/>
      <c r="S8" s="1315"/>
      <c r="T8" s="1315"/>
      <c r="U8" s="1315"/>
    </row>
    <row r="9" spans="1:34">
      <c r="A9" s="1100" t="s">
        <v>718</v>
      </c>
      <c r="B9" s="1316"/>
      <c r="C9" s="1317"/>
      <c r="D9" s="1317"/>
      <c r="E9" s="1318"/>
      <c r="F9" s="1318"/>
      <c r="G9" s="1315"/>
      <c r="H9" s="1315"/>
      <c r="I9" s="1315"/>
      <c r="J9" s="1315"/>
      <c r="K9" s="1315"/>
      <c r="L9" s="1315"/>
      <c r="M9" s="1318"/>
      <c r="N9" s="1315"/>
      <c r="O9" s="1315"/>
      <c r="P9" s="1315"/>
      <c r="Q9" s="1315"/>
      <c r="R9" s="1315"/>
      <c r="S9" s="1315"/>
      <c r="T9" s="1315"/>
      <c r="U9" s="1315"/>
    </row>
    <row r="10" spans="1:34">
      <c r="A10" s="1100" t="s">
        <v>718</v>
      </c>
      <c r="B10" s="1318" t="s">
        <v>1316</v>
      </c>
      <c r="C10" s="1320"/>
      <c r="D10" s="1321"/>
      <c r="E10" s="1318"/>
      <c r="F10" s="1318"/>
      <c r="G10" s="1315"/>
      <c r="H10" s="1315"/>
      <c r="I10" s="1315"/>
      <c r="J10" s="1315"/>
      <c r="K10" s="1315"/>
      <c r="L10" s="1315"/>
      <c r="M10" s="1318"/>
      <c r="N10" s="1315"/>
      <c r="O10" s="1315"/>
      <c r="P10" s="1315"/>
      <c r="Q10" s="1315"/>
      <c r="R10" s="1315"/>
      <c r="S10" s="1315"/>
      <c r="T10" s="1315"/>
      <c r="U10" s="1315"/>
    </row>
    <row r="11" spans="1:34">
      <c r="A11" s="1100" t="s">
        <v>718</v>
      </c>
      <c r="B11" s="1322"/>
      <c r="C11" s="1322"/>
      <c r="D11" s="1322"/>
      <c r="E11" s="1322"/>
      <c r="F11" s="1322"/>
      <c r="G11" s="1315"/>
      <c r="H11" s="1315"/>
      <c r="I11" s="1315"/>
      <c r="J11" s="1315"/>
      <c r="K11" s="1315"/>
      <c r="L11" s="1315"/>
      <c r="M11" s="1322"/>
      <c r="N11" s="1315"/>
      <c r="O11" s="1315"/>
      <c r="P11" s="1315"/>
      <c r="Q11" s="1315"/>
      <c r="R11" s="1315"/>
      <c r="S11" s="1315"/>
      <c r="T11" s="1315"/>
      <c r="U11" s="1315"/>
    </row>
    <row r="12" spans="1:34" ht="63">
      <c r="A12" s="1100" t="s">
        <v>718</v>
      </c>
      <c r="B12" s="1323" t="s">
        <v>1317</v>
      </c>
      <c r="C12" s="1323" t="s">
        <v>1318</v>
      </c>
      <c r="D12" s="1323" t="s">
        <v>1319</v>
      </c>
      <c r="E12" s="1323" t="s">
        <v>1320</v>
      </c>
      <c r="F12" s="1323" t="s">
        <v>1321</v>
      </c>
      <c r="G12" s="1323" t="s">
        <v>1322</v>
      </c>
      <c r="H12" s="1323" t="s">
        <v>1323</v>
      </c>
      <c r="I12" s="1323" t="s">
        <v>1324</v>
      </c>
      <c r="J12" s="1323" t="s">
        <v>1325</v>
      </c>
      <c r="K12" s="1323" t="s">
        <v>1326</v>
      </c>
      <c r="L12" s="1323" t="s">
        <v>1327</v>
      </c>
      <c r="M12" s="1323" t="s">
        <v>1328</v>
      </c>
      <c r="N12" s="1323" t="s">
        <v>1329</v>
      </c>
      <c r="O12" s="1323" t="s">
        <v>1330</v>
      </c>
      <c r="P12" s="1323" t="s">
        <v>1331</v>
      </c>
      <c r="Q12" s="1323" t="s">
        <v>1332</v>
      </c>
      <c r="R12" s="1323" t="s">
        <v>57</v>
      </c>
      <c r="S12" s="1323" t="s">
        <v>1333</v>
      </c>
      <c r="T12" s="1323" t="s">
        <v>1334</v>
      </c>
      <c r="U12" s="1323" t="s">
        <v>1335</v>
      </c>
    </row>
    <row r="13" spans="1:34" ht="52.5">
      <c r="A13" s="1100" t="s">
        <v>718</v>
      </c>
      <c r="B13" s="1324" t="s">
        <v>1588</v>
      </c>
      <c r="C13" s="1324" t="s">
        <v>1589</v>
      </c>
      <c r="D13" s="1324" t="s">
        <v>1590</v>
      </c>
      <c r="E13" s="1324" t="s">
        <v>1591</v>
      </c>
      <c r="F13" s="1324" t="s">
        <v>1592</v>
      </c>
      <c r="G13" s="1324" t="s">
        <v>1593</v>
      </c>
      <c r="H13" s="1324" t="s">
        <v>1593</v>
      </c>
      <c r="I13" s="1324" t="s">
        <v>1593</v>
      </c>
      <c r="J13" s="1324" t="s">
        <v>1594</v>
      </c>
      <c r="K13" s="1324" t="s">
        <v>1595</v>
      </c>
      <c r="L13" s="1324" t="s">
        <v>1596</v>
      </c>
      <c r="M13" s="1324" t="s">
        <v>1597</v>
      </c>
      <c r="N13" s="1324" t="s">
        <v>1598</v>
      </c>
      <c r="O13" s="1324" t="s">
        <v>1599</v>
      </c>
      <c r="P13" s="1324" t="s">
        <v>1600</v>
      </c>
      <c r="Q13" s="1324" t="s">
        <v>1601</v>
      </c>
      <c r="R13" s="1324" t="s">
        <v>1602</v>
      </c>
      <c r="S13" s="1324" t="s">
        <v>1603</v>
      </c>
      <c r="T13" s="1324" t="s">
        <v>1604</v>
      </c>
      <c r="U13" s="1324" t="s">
        <v>1605</v>
      </c>
    </row>
    <row r="14" spans="1:34">
      <c r="A14" s="1100" t="s">
        <v>718</v>
      </c>
      <c r="B14" s="1325" t="s">
        <v>292</v>
      </c>
      <c r="C14" s="1325" t="s">
        <v>293</v>
      </c>
      <c r="D14" s="1325" t="s">
        <v>294</v>
      </c>
      <c r="E14" s="1325" t="s">
        <v>295</v>
      </c>
      <c r="F14" s="1325" t="s">
        <v>296</v>
      </c>
      <c r="G14" s="1325" t="s">
        <v>297</v>
      </c>
      <c r="H14" s="1325" t="s">
        <v>298</v>
      </c>
      <c r="I14" s="1325" t="s">
        <v>299</v>
      </c>
      <c r="J14" s="1325" t="s">
        <v>300</v>
      </c>
      <c r="K14" s="1325" t="s">
        <v>435</v>
      </c>
      <c r="L14" s="1325" t="s">
        <v>301</v>
      </c>
      <c r="M14" s="1325" t="s">
        <v>302</v>
      </c>
      <c r="N14" s="1325" t="s">
        <v>303</v>
      </c>
      <c r="O14" s="1325" t="s">
        <v>304</v>
      </c>
      <c r="P14" s="1325" t="s">
        <v>305</v>
      </c>
      <c r="Q14" s="1325" t="s">
        <v>306</v>
      </c>
      <c r="R14" s="1325" t="s">
        <v>307</v>
      </c>
      <c r="S14" s="1325" t="s">
        <v>308</v>
      </c>
      <c r="T14" s="1325" t="s">
        <v>309</v>
      </c>
      <c r="U14" s="1325" t="s">
        <v>310</v>
      </c>
    </row>
    <row r="15" spans="1:34">
      <c r="A15" s="1156" t="str">
        <f>$A$1&amp;"_"&amp;"010"</f>
        <v>F-40.01_010</v>
      </c>
      <c r="B15" s="1687"/>
      <c r="C15" s="1687"/>
      <c r="D15" s="1687"/>
      <c r="E15" s="2152"/>
      <c r="F15" s="1326"/>
      <c r="G15" s="1327"/>
      <c r="H15" s="1326"/>
      <c r="I15" s="1327"/>
      <c r="J15" s="1687"/>
      <c r="K15" s="1687"/>
      <c r="L15" s="1687"/>
      <c r="M15" s="1328"/>
      <c r="N15" s="1328"/>
      <c r="O15" s="1687"/>
      <c r="P15" s="1687"/>
      <c r="Q15" s="1687"/>
      <c r="R15" s="1326"/>
      <c r="S15" s="1327"/>
      <c r="T15" s="1326"/>
      <c r="U15" s="1326"/>
      <c r="V15" s="1329">
        <f>IF(F15&gt;=0,0,"c50&gt;=0")</f>
        <v>0</v>
      </c>
      <c r="W15" s="1329">
        <f>IF(H15&gt;=0,0,"c70&gt;=0")</f>
        <v>0</v>
      </c>
      <c r="X15" s="1329">
        <f>IF(M15&lt;=1,0,"c110&lt;=1")</f>
        <v>0</v>
      </c>
      <c r="Y15" s="1329">
        <f>IF(M15&gt;=0,0,"c110&gt;=0")</f>
        <v>0</v>
      </c>
      <c r="Z15" s="1329">
        <f>IF(N15&lt;=1,0,"c120&lt;=1")</f>
        <v>0</v>
      </c>
      <c r="AA15" s="1329">
        <f>IF(N15&gt;=0,0,"c120&gt;=0")</f>
        <v>0</v>
      </c>
      <c r="AB15" s="1329"/>
      <c r="AC15" s="1329">
        <f>IF(R15&gt;=0,0,"c160&gt;=0")</f>
        <v>0</v>
      </c>
      <c r="AD15" s="1329"/>
      <c r="AE15" s="1329">
        <f>IF(T15&gt;=0,0,"c180&gt;=0")</f>
        <v>0</v>
      </c>
      <c r="AF15" s="1329">
        <f>IF(U15&gt;=0,0,"c190&gt;=0")</f>
        <v>0</v>
      </c>
      <c r="AG15" s="1330">
        <f>IF(($M15*100)&gt;100,"C110 Invalid value greater than 100",IF(($M15*100)&lt;&gt;ROUND(($M15*100),2),($M15*100)&amp;": C110 Invalid no. of decimals",0))</f>
        <v>0</v>
      </c>
      <c r="AH15" s="1330">
        <f>IF(($N15*100)&gt;100,"C120 Invalid value greater than 100",IF(($N15*100)&lt;&gt;ROUND(($N15*100),2),($N15*100)&amp;": C120 Invalid no. of decimals",0))</f>
        <v>0</v>
      </c>
    </row>
    <row r="16" spans="1:34">
      <c r="B16" s="1687"/>
      <c r="C16" s="1687"/>
      <c r="D16" s="1687"/>
      <c r="E16" s="2152"/>
      <c r="F16" s="1326"/>
      <c r="G16" s="1327"/>
      <c r="H16" s="1326"/>
      <c r="I16" s="1327"/>
      <c r="J16" s="1687"/>
      <c r="K16" s="1687"/>
      <c r="L16" s="1687"/>
      <c r="M16" s="1328"/>
      <c r="N16" s="1328"/>
      <c r="O16" s="1687"/>
      <c r="P16" s="1687"/>
      <c r="Q16" s="1687"/>
      <c r="R16" s="1326"/>
      <c r="S16" s="1327"/>
      <c r="T16" s="1326"/>
      <c r="U16" s="1326"/>
      <c r="V16" s="1329">
        <f t="shared" ref="V16:V23" si="1">IF(F16&gt;=0,0,"c50&gt;=0")</f>
        <v>0</v>
      </c>
      <c r="W16" s="1329">
        <f t="shared" ref="W16:W23" si="2">IF(H16&gt;=0,0,"c70&gt;=0")</f>
        <v>0</v>
      </c>
      <c r="X16" s="1329">
        <f t="shared" ref="X16:X23" si="3">IF(M16&lt;=1,0,"c110&lt;=1")</f>
        <v>0</v>
      </c>
      <c r="Y16" s="1329">
        <f t="shared" ref="Y16:Y23" si="4">IF(M16&gt;=0,0,"c110&gt;=0")</f>
        <v>0</v>
      </c>
      <c r="Z16" s="1329">
        <f t="shared" ref="Z16:Z23" si="5">IF(N16&lt;=1,0,"c120&lt;=1")</f>
        <v>0</v>
      </c>
      <c r="AA16" s="1329">
        <f t="shared" ref="AA16:AA23" si="6">IF(N16&gt;=0,0,"c120&gt;=0")</f>
        <v>0</v>
      </c>
      <c r="AB16" s="1329"/>
      <c r="AC16" s="1329">
        <f t="shared" ref="AC16:AC23" si="7">IF(R16&gt;=0,0,"c160&gt;=0")</f>
        <v>0</v>
      </c>
      <c r="AD16" s="1329"/>
      <c r="AE16" s="1329">
        <f t="shared" ref="AE16:AE23" si="8">IF(T16&gt;=0,0,"c180&gt;=0")</f>
        <v>0</v>
      </c>
      <c r="AF16" s="1329">
        <f t="shared" ref="AF16:AF23" si="9">IF(U16&gt;=0,0,"c190&gt;=0")</f>
        <v>0</v>
      </c>
      <c r="AG16" s="1330">
        <f t="shared" ref="AG16:AG23" si="10">IF(($M16*100)&gt;100,"C110 Invalid value greater than 100",IF(($M16*100)&lt;&gt;ROUND(($M16*100),2),($M16*100)&amp;": C110 Invalid no. of decimals",0))</f>
        <v>0</v>
      </c>
      <c r="AH16" s="1330">
        <f t="shared" ref="AH16:AH23" si="11">IF(($N16*100)&gt;100,"C120 Invalid value greater than 100",IF(($N16*100)&lt;&gt;ROUND(($N16*100),2),($N16*100)&amp;": C120 Invalid no. of decimals",0))</f>
        <v>0</v>
      </c>
    </row>
    <row r="17" spans="2:34">
      <c r="B17" s="1687"/>
      <c r="C17" s="1687"/>
      <c r="D17" s="1687"/>
      <c r="E17" s="2152"/>
      <c r="F17" s="1326"/>
      <c r="G17" s="1327"/>
      <c r="H17" s="1326"/>
      <c r="I17" s="1327"/>
      <c r="J17" s="1687"/>
      <c r="K17" s="1687"/>
      <c r="L17" s="1687"/>
      <c r="M17" s="1328"/>
      <c r="N17" s="1328"/>
      <c r="O17" s="1687"/>
      <c r="P17" s="1687"/>
      <c r="Q17" s="1687"/>
      <c r="R17" s="1326"/>
      <c r="S17" s="1327"/>
      <c r="T17" s="1326"/>
      <c r="U17" s="1326"/>
      <c r="V17" s="1329">
        <f t="shared" si="1"/>
        <v>0</v>
      </c>
      <c r="W17" s="1329">
        <f t="shared" si="2"/>
        <v>0</v>
      </c>
      <c r="X17" s="1329">
        <f t="shared" si="3"/>
        <v>0</v>
      </c>
      <c r="Y17" s="1329">
        <f t="shared" si="4"/>
        <v>0</v>
      </c>
      <c r="Z17" s="1329">
        <f t="shared" si="5"/>
        <v>0</v>
      </c>
      <c r="AA17" s="1329">
        <f t="shared" si="6"/>
        <v>0</v>
      </c>
      <c r="AB17" s="1329"/>
      <c r="AC17" s="1329">
        <f t="shared" si="7"/>
        <v>0</v>
      </c>
      <c r="AD17" s="1329"/>
      <c r="AE17" s="1329">
        <f t="shared" si="8"/>
        <v>0</v>
      </c>
      <c r="AF17" s="1329">
        <f t="shared" si="9"/>
        <v>0</v>
      </c>
      <c r="AG17" s="1330">
        <f t="shared" si="10"/>
        <v>0</v>
      </c>
      <c r="AH17" s="1330">
        <f t="shared" si="11"/>
        <v>0</v>
      </c>
    </row>
    <row r="18" spans="2:34">
      <c r="B18" s="1687"/>
      <c r="C18" s="1687"/>
      <c r="D18" s="1687"/>
      <c r="E18" s="2152"/>
      <c r="F18" s="1326"/>
      <c r="G18" s="1327"/>
      <c r="H18" s="1326"/>
      <c r="I18" s="1327"/>
      <c r="J18" s="1687"/>
      <c r="K18" s="1687"/>
      <c r="L18" s="1687"/>
      <c r="M18" s="1328"/>
      <c r="N18" s="1328"/>
      <c r="O18" s="1687"/>
      <c r="P18" s="1687"/>
      <c r="Q18" s="1687"/>
      <c r="R18" s="1326"/>
      <c r="S18" s="1327"/>
      <c r="T18" s="1326"/>
      <c r="U18" s="1326"/>
      <c r="V18" s="1329">
        <f t="shared" si="1"/>
        <v>0</v>
      </c>
      <c r="W18" s="1329">
        <f t="shared" si="2"/>
        <v>0</v>
      </c>
      <c r="X18" s="1329">
        <f t="shared" si="3"/>
        <v>0</v>
      </c>
      <c r="Y18" s="1329">
        <f t="shared" si="4"/>
        <v>0</v>
      </c>
      <c r="Z18" s="1329">
        <f t="shared" si="5"/>
        <v>0</v>
      </c>
      <c r="AA18" s="1329">
        <f t="shared" si="6"/>
        <v>0</v>
      </c>
      <c r="AB18" s="1329"/>
      <c r="AC18" s="1329">
        <f t="shared" si="7"/>
        <v>0</v>
      </c>
      <c r="AD18" s="1329"/>
      <c r="AE18" s="1329">
        <f t="shared" si="8"/>
        <v>0</v>
      </c>
      <c r="AF18" s="1329">
        <f t="shared" si="9"/>
        <v>0</v>
      </c>
      <c r="AG18" s="1330">
        <f t="shared" si="10"/>
        <v>0</v>
      </c>
      <c r="AH18" s="1330">
        <f t="shared" si="11"/>
        <v>0</v>
      </c>
    </row>
    <row r="19" spans="2:34">
      <c r="B19" s="1687"/>
      <c r="C19" s="1687"/>
      <c r="D19" s="1687"/>
      <c r="E19" s="2152"/>
      <c r="F19" s="1326"/>
      <c r="G19" s="1327"/>
      <c r="H19" s="1326"/>
      <c r="I19" s="1327"/>
      <c r="J19" s="1687"/>
      <c r="K19" s="1687"/>
      <c r="L19" s="1687"/>
      <c r="M19" s="1328"/>
      <c r="N19" s="1328"/>
      <c r="O19" s="1687"/>
      <c r="P19" s="1687"/>
      <c r="Q19" s="1687"/>
      <c r="R19" s="1326"/>
      <c r="S19" s="1327"/>
      <c r="T19" s="1326"/>
      <c r="U19" s="1326"/>
      <c r="V19" s="1329">
        <f t="shared" si="1"/>
        <v>0</v>
      </c>
      <c r="W19" s="1329">
        <f t="shared" si="2"/>
        <v>0</v>
      </c>
      <c r="X19" s="1329">
        <f t="shared" si="3"/>
        <v>0</v>
      </c>
      <c r="Y19" s="1329">
        <f t="shared" si="4"/>
        <v>0</v>
      </c>
      <c r="Z19" s="1329">
        <f t="shared" si="5"/>
        <v>0</v>
      </c>
      <c r="AA19" s="1329">
        <f t="shared" si="6"/>
        <v>0</v>
      </c>
      <c r="AB19" s="1329"/>
      <c r="AC19" s="1329">
        <f t="shared" si="7"/>
        <v>0</v>
      </c>
      <c r="AD19" s="1329"/>
      <c r="AE19" s="1329">
        <f t="shared" si="8"/>
        <v>0</v>
      </c>
      <c r="AF19" s="1329">
        <f t="shared" si="9"/>
        <v>0</v>
      </c>
      <c r="AG19" s="1330">
        <f t="shared" si="10"/>
        <v>0</v>
      </c>
      <c r="AH19" s="1330">
        <f t="shared" si="11"/>
        <v>0</v>
      </c>
    </row>
    <row r="20" spans="2:34">
      <c r="B20" s="1687"/>
      <c r="C20" s="1687"/>
      <c r="D20" s="1687"/>
      <c r="E20" s="2152"/>
      <c r="F20" s="1326"/>
      <c r="G20" s="1327"/>
      <c r="H20" s="1326"/>
      <c r="I20" s="1327"/>
      <c r="J20" s="1687"/>
      <c r="K20" s="1687"/>
      <c r="L20" s="1687"/>
      <c r="M20" s="1328"/>
      <c r="N20" s="1328"/>
      <c r="O20" s="1687"/>
      <c r="P20" s="1687"/>
      <c r="Q20" s="1687"/>
      <c r="R20" s="1326"/>
      <c r="S20" s="1327"/>
      <c r="T20" s="1326"/>
      <c r="U20" s="1326"/>
      <c r="V20" s="1329">
        <f t="shared" si="1"/>
        <v>0</v>
      </c>
      <c r="W20" s="1329">
        <f t="shared" si="2"/>
        <v>0</v>
      </c>
      <c r="X20" s="1329">
        <f t="shared" si="3"/>
        <v>0</v>
      </c>
      <c r="Y20" s="1329">
        <f t="shared" si="4"/>
        <v>0</v>
      </c>
      <c r="Z20" s="1329">
        <f t="shared" si="5"/>
        <v>0</v>
      </c>
      <c r="AA20" s="1329">
        <f t="shared" si="6"/>
        <v>0</v>
      </c>
      <c r="AB20" s="1329"/>
      <c r="AC20" s="1329">
        <f t="shared" si="7"/>
        <v>0</v>
      </c>
      <c r="AD20" s="1329"/>
      <c r="AE20" s="1329">
        <f t="shared" si="8"/>
        <v>0</v>
      </c>
      <c r="AF20" s="1329">
        <f t="shared" si="9"/>
        <v>0</v>
      </c>
      <c r="AG20" s="1330">
        <f t="shared" si="10"/>
        <v>0</v>
      </c>
      <c r="AH20" s="1330">
        <f t="shared" si="11"/>
        <v>0</v>
      </c>
    </row>
    <row r="21" spans="2:34">
      <c r="B21" s="1687"/>
      <c r="C21" s="1687"/>
      <c r="D21" s="1687"/>
      <c r="E21" s="2152"/>
      <c r="F21" s="1326"/>
      <c r="G21" s="1327"/>
      <c r="H21" s="1326"/>
      <c r="I21" s="1327"/>
      <c r="J21" s="1687"/>
      <c r="K21" s="1687"/>
      <c r="L21" s="1687"/>
      <c r="M21" s="1328"/>
      <c r="N21" s="1328"/>
      <c r="O21" s="1687"/>
      <c r="P21" s="1687"/>
      <c r="Q21" s="1687"/>
      <c r="R21" s="1326"/>
      <c r="S21" s="1327"/>
      <c r="T21" s="1326"/>
      <c r="U21" s="1326"/>
      <c r="V21" s="1329">
        <f t="shared" si="1"/>
        <v>0</v>
      </c>
      <c r="W21" s="1329">
        <f t="shared" si="2"/>
        <v>0</v>
      </c>
      <c r="X21" s="1329">
        <f t="shared" si="3"/>
        <v>0</v>
      </c>
      <c r="Y21" s="1329">
        <f t="shared" si="4"/>
        <v>0</v>
      </c>
      <c r="Z21" s="1329">
        <f t="shared" si="5"/>
        <v>0</v>
      </c>
      <c r="AA21" s="1329">
        <f t="shared" si="6"/>
        <v>0</v>
      </c>
      <c r="AB21" s="1329"/>
      <c r="AC21" s="1329">
        <f t="shared" si="7"/>
        <v>0</v>
      </c>
      <c r="AD21" s="1329"/>
      <c r="AE21" s="1329">
        <f t="shared" si="8"/>
        <v>0</v>
      </c>
      <c r="AF21" s="1329">
        <f t="shared" si="9"/>
        <v>0</v>
      </c>
      <c r="AG21" s="1330">
        <f t="shared" si="10"/>
        <v>0</v>
      </c>
      <c r="AH21" s="1330">
        <f t="shared" si="11"/>
        <v>0</v>
      </c>
    </row>
    <row r="22" spans="2:34">
      <c r="B22" s="1687"/>
      <c r="C22" s="1687"/>
      <c r="D22" s="1687"/>
      <c r="E22" s="2152"/>
      <c r="F22" s="1326"/>
      <c r="G22" s="1327"/>
      <c r="H22" s="1326"/>
      <c r="I22" s="1327"/>
      <c r="J22" s="1687"/>
      <c r="K22" s="1687"/>
      <c r="L22" s="1687"/>
      <c r="M22" s="1328"/>
      <c r="N22" s="1328"/>
      <c r="O22" s="1687"/>
      <c r="P22" s="1687"/>
      <c r="Q22" s="1687"/>
      <c r="R22" s="1326"/>
      <c r="S22" s="1327"/>
      <c r="T22" s="1326"/>
      <c r="U22" s="1326"/>
      <c r="V22" s="1329">
        <f t="shared" si="1"/>
        <v>0</v>
      </c>
      <c r="W22" s="1329">
        <f t="shared" si="2"/>
        <v>0</v>
      </c>
      <c r="X22" s="1329">
        <f t="shared" si="3"/>
        <v>0</v>
      </c>
      <c r="Y22" s="1329">
        <f t="shared" si="4"/>
        <v>0</v>
      </c>
      <c r="Z22" s="1329">
        <f t="shared" si="5"/>
        <v>0</v>
      </c>
      <c r="AA22" s="1329">
        <f t="shared" si="6"/>
        <v>0</v>
      </c>
      <c r="AB22" s="1329"/>
      <c r="AC22" s="1329">
        <f t="shared" si="7"/>
        <v>0</v>
      </c>
      <c r="AD22" s="1329"/>
      <c r="AE22" s="1329">
        <f t="shared" si="8"/>
        <v>0</v>
      </c>
      <c r="AF22" s="1329">
        <f t="shared" si="9"/>
        <v>0</v>
      </c>
      <c r="AG22" s="1330">
        <f t="shared" si="10"/>
        <v>0</v>
      </c>
      <c r="AH22" s="1330">
        <f t="shared" si="11"/>
        <v>0</v>
      </c>
    </row>
    <row r="23" spans="2:34">
      <c r="B23" s="1687"/>
      <c r="C23" s="1687"/>
      <c r="D23" s="1687"/>
      <c r="E23" s="2152"/>
      <c r="F23" s="1326"/>
      <c r="G23" s="1327"/>
      <c r="H23" s="1326"/>
      <c r="I23" s="1327"/>
      <c r="J23" s="1687"/>
      <c r="K23" s="1687"/>
      <c r="L23" s="1687"/>
      <c r="M23" s="1328"/>
      <c r="N23" s="1328"/>
      <c r="O23" s="1687"/>
      <c r="P23" s="1687"/>
      <c r="Q23" s="1687"/>
      <c r="R23" s="1326"/>
      <c r="S23" s="1327"/>
      <c r="T23" s="1326"/>
      <c r="U23" s="1326"/>
      <c r="V23" s="1329">
        <f t="shared" si="1"/>
        <v>0</v>
      </c>
      <c r="W23" s="1329">
        <f t="shared" si="2"/>
        <v>0</v>
      </c>
      <c r="X23" s="1329">
        <f t="shared" si="3"/>
        <v>0</v>
      </c>
      <c r="Y23" s="1329">
        <f t="shared" si="4"/>
        <v>0</v>
      </c>
      <c r="Z23" s="1329">
        <f t="shared" si="5"/>
        <v>0</v>
      </c>
      <c r="AA23" s="1329">
        <f t="shared" si="6"/>
        <v>0</v>
      </c>
      <c r="AB23" s="1329"/>
      <c r="AC23" s="1329">
        <f t="shared" si="7"/>
        <v>0</v>
      </c>
      <c r="AD23" s="1329"/>
      <c r="AE23" s="1329">
        <f t="shared" si="8"/>
        <v>0</v>
      </c>
      <c r="AF23" s="1329">
        <f t="shared" si="9"/>
        <v>0</v>
      </c>
      <c r="AG23" s="1330">
        <f t="shared" si="10"/>
        <v>0</v>
      </c>
      <c r="AH23" s="1330">
        <f t="shared" si="11"/>
        <v>0</v>
      </c>
    </row>
    <row r="24" spans="2:34">
      <c r="B24" s="1687"/>
      <c r="C24" s="1687"/>
      <c r="D24" s="1687"/>
      <c r="E24" s="2152"/>
      <c r="F24" s="1326"/>
      <c r="G24" s="1327"/>
      <c r="H24" s="1326"/>
      <c r="I24" s="1327"/>
      <c r="J24" s="1687"/>
      <c r="K24" s="1687"/>
      <c r="L24" s="1687"/>
      <c r="M24" s="1328"/>
      <c r="N24" s="1328"/>
      <c r="O24" s="1687"/>
      <c r="P24" s="1687"/>
      <c r="Q24" s="1687"/>
      <c r="R24" s="1326"/>
      <c r="S24" s="1327"/>
      <c r="T24" s="1326"/>
      <c r="U24" s="1326"/>
      <c r="V24" s="1329">
        <f t="shared" ref="V24:V39" si="12">IF(F24&gt;=0,0,"c50&gt;=0")</f>
        <v>0</v>
      </c>
      <c r="W24" s="1329">
        <f t="shared" ref="W24:W39" si="13">IF(H24&gt;=0,0,"c70&gt;=0")</f>
        <v>0</v>
      </c>
      <c r="X24" s="1329">
        <f t="shared" ref="X24:X39" si="14">IF(M24&lt;=1,0,"c110&lt;=1")</f>
        <v>0</v>
      </c>
      <c r="Y24" s="1329">
        <f t="shared" ref="Y24:Y39" si="15">IF(M24&gt;=0,0,"c110&gt;=0")</f>
        <v>0</v>
      </c>
      <c r="Z24" s="1329">
        <f t="shared" ref="Z24:Z39" si="16">IF(N24&lt;=1,0,"c120&lt;=1")</f>
        <v>0</v>
      </c>
      <c r="AA24" s="1329">
        <f t="shared" ref="AA24:AA39" si="17">IF(N24&gt;=0,0,"c120&gt;=0")</f>
        <v>0</v>
      </c>
      <c r="AB24" s="1329"/>
      <c r="AC24" s="1329">
        <f t="shared" ref="AC24:AC39" si="18">IF(R24&gt;=0,0,"c160&gt;=0")</f>
        <v>0</v>
      </c>
      <c r="AD24" s="1329"/>
      <c r="AE24" s="1329">
        <f t="shared" ref="AE24:AE39" si="19">IF(T24&gt;=0,0,"c180&gt;=0")</f>
        <v>0</v>
      </c>
      <c r="AF24" s="1329">
        <f t="shared" ref="AF24:AF39" si="20">IF(U24&gt;=0,0,"c190&gt;=0")</f>
        <v>0</v>
      </c>
      <c r="AG24" s="1330">
        <f t="shared" ref="AG24:AG138" si="21">IF(($M24*100)&gt;100,"C110 Invalid value greater than 100",IF(($M24*100)&lt;&gt;ROUND(($M24*100),2),($M24*100)&amp;": C110 Invalid no. of decimals",0))</f>
        <v>0</v>
      </c>
      <c r="AH24" s="1330">
        <f t="shared" ref="AH24:AH138" si="22">IF(($N24*100)&gt;100,"C120 Invalid value greater than 100",IF(($N24*100)&lt;&gt;ROUND(($N24*100),2),($N24*100)&amp;": C120 Invalid no. of decimals",0))</f>
        <v>0</v>
      </c>
    </row>
    <row r="25" spans="2:34">
      <c r="B25" s="1687"/>
      <c r="C25" s="1687"/>
      <c r="D25" s="1687"/>
      <c r="E25" s="2152"/>
      <c r="F25" s="1326"/>
      <c r="G25" s="1327"/>
      <c r="H25" s="1326"/>
      <c r="I25" s="1327"/>
      <c r="J25" s="1687"/>
      <c r="K25" s="1687"/>
      <c r="L25" s="1687"/>
      <c r="M25" s="1328"/>
      <c r="N25" s="1328"/>
      <c r="O25" s="1687"/>
      <c r="P25" s="1687"/>
      <c r="Q25" s="1687"/>
      <c r="R25" s="1326"/>
      <c r="S25" s="1327"/>
      <c r="T25" s="1326"/>
      <c r="U25" s="1326"/>
      <c r="V25" s="1329">
        <f t="shared" si="12"/>
        <v>0</v>
      </c>
      <c r="W25" s="1329">
        <f t="shared" si="13"/>
        <v>0</v>
      </c>
      <c r="X25" s="1329">
        <f t="shared" si="14"/>
        <v>0</v>
      </c>
      <c r="Y25" s="1329">
        <f t="shared" si="15"/>
        <v>0</v>
      </c>
      <c r="Z25" s="1329">
        <f t="shared" si="16"/>
        <v>0</v>
      </c>
      <c r="AA25" s="1329">
        <f t="shared" si="17"/>
        <v>0</v>
      </c>
      <c r="AB25" s="1329"/>
      <c r="AC25" s="1329">
        <f t="shared" si="18"/>
        <v>0</v>
      </c>
      <c r="AD25" s="1329"/>
      <c r="AE25" s="1329">
        <f t="shared" si="19"/>
        <v>0</v>
      </c>
      <c r="AF25" s="1329">
        <f t="shared" si="20"/>
        <v>0</v>
      </c>
      <c r="AG25" s="1330">
        <f t="shared" si="21"/>
        <v>0</v>
      </c>
      <c r="AH25" s="1330">
        <f t="shared" si="22"/>
        <v>0</v>
      </c>
    </row>
    <row r="26" spans="2:34">
      <c r="B26" s="1687"/>
      <c r="C26" s="1687"/>
      <c r="D26" s="1687"/>
      <c r="E26" s="2152"/>
      <c r="F26" s="1326"/>
      <c r="G26" s="1327"/>
      <c r="H26" s="1326"/>
      <c r="I26" s="1327"/>
      <c r="J26" s="1687"/>
      <c r="K26" s="1687"/>
      <c r="L26" s="1687"/>
      <c r="M26" s="1328"/>
      <c r="N26" s="1328"/>
      <c r="O26" s="1687"/>
      <c r="P26" s="1687"/>
      <c r="Q26" s="1687"/>
      <c r="R26" s="1326"/>
      <c r="S26" s="1327"/>
      <c r="T26" s="1326"/>
      <c r="U26" s="1326"/>
      <c r="V26" s="1329">
        <f t="shared" si="12"/>
        <v>0</v>
      </c>
      <c r="W26" s="1329">
        <f t="shared" si="13"/>
        <v>0</v>
      </c>
      <c r="X26" s="1329">
        <f t="shared" si="14"/>
        <v>0</v>
      </c>
      <c r="Y26" s="1329">
        <f t="shared" si="15"/>
        <v>0</v>
      </c>
      <c r="Z26" s="1329">
        <f t="shared" si="16"/>
        <v>0</v>
      </c>
      <c r="AA26" s="1329">
        <f t="shared" si="17"/>
        <v>0</v>
      </c>
      <c r="AB26" s="1329"/>
      <c r="AC26" s="1329">
        <f t="shared" si="18"/>
        <v>0</v>
      </c>
      <c r="AD26" s="1329"/>
      <c r="AE26" s="1329">
        <f t="shared" si="19"/>
        <v>0</v>
      </c>
      <c r="AF26" s="1329">
        <f t="shared" si="20"/>
        <v>0</v>
      </c>
      <c r="AG26" s="1330">
        <f t="shared" si="21"/>
        <v>0</v>
      </c>
      <c r="AH26" s="1330">
        <f t="shared" si="22"/>
        <v>0</v>
      </c>
    </row>
    <row r="27" spans="2:34">
      <c r="B27" s="1687"/>
      <c r="C27" s="1687"/>
      <c r="D27" s="1687"/>
      <c r="E27" s="2152"/>
      <c r="F27" s="1326"/>
      <c r="G27" s="1327"/>
      <c r="H27" s="1326"/>
      <c r="I27" s="1327"/>
      <c r="J27" s="1687"/>
      <c r="K27" s="1687"/>
      <c r="L27" s="1687"/>
      <c r="M27" s="1328"/>
      <c r="N27" s="1328"/>
      <c r="O27" s="1687"/>
      <c r="P27" s="1687"/>
      <c r="Q27" s="1687"/>
      <c r="R27" s="1326"/>
      <c r="S27" s="1327"/>
      <c r="T27" s="1326"/>
      <c r="U27" s="1326"/>
      <c r="V27" s="1329">
        <f t="shared" si="12"/>
        <v>0</v>
      </c>
      <c r="W27" s="1329">
        <f t="shared" si="13"/>
        <v>0</v>
      </c>
      <c r="X27" s="1329">
        <f t="shared" si="14"/>
        <v>0</v>
      </c>
      <c r="Y27" s="1329">
        <f t="shared" si="15"/>
        <v>0</v>
      </c>
      <c r="Z27" s="1329">
        <f t="shared" si="16"/>
        <v>0</v>
      </c>
      <c r="AA27" s="1329">
        <f t="shared" si="17"/>
        <v>0</v>
      </c>
      <c r="AB27" s="1329"/>
      <c r="AC27" s="1329">
        <f t="shared" si="18"/>
        <v>0</v>
      </c>
      <c r="AD27" s="1329"/>
      <c r="AE27" s="1329">
        <f t="shared" si="19"/>
        <v>0</v>
      </c>
      <c r="AF27" s="1329">
        <f t="shared" si="20"/>
        <v>0</v>
      </c>
      <c r="AG27" s="1330">
        <f t="shared" si="21"/>
        <v>0</v>
      </c>
      <c r="AH27" s="1330">
        <f t="shared" si="22"/>
        <v>0</v>
      </c>
    </row>
    <row r="28" spans="2:34">
      <c r="B28" s="1687"/>
      <c r="C28" s="1687"/>
      <c r="D28" s="1687"/>
      <c r="E28" s="2152"/>
      <c r="F28" s="1326"/>
      <c r="G28" s="1327"/>
      <c r="H28" s="1326"/>
      <c r="I28" s="1327"/>
      <c r="J28" s="1687"/>
      <c r="K28" s="1687"/>
      <c r="L28" s="1687"/>
      <c r="M28" s="1328"/>
      <c r="N28" s="1328"/>
      <c r="O28" s="1687"/>
      <c r="P28" s="1687"/>
      <c r="Q28" s="1687"/>
      <c r="R28" s="1326"/>
      <c r="S28" s="1327"/>
      <c r="T28" s="1326"/>
      <c r="U28" s="1326"/>
      <c r="V28" s="1329">
        <f t="shared" si="12"/>
        <v>0</v>
      </c>
      <c r="W28" s="1329">
        <f t="shared" si="13"/>
        <v>0</v>
      </c>
      <c r="X28" s="1329">
        <f t="shared" si="14"/>
        <v>0</v>
      </c>
      <c r="Y28" s="1329">
        <f t="shared" si="15"/>
        <v>0</v>
      </c>
      <c r="Z28" s="1329">
        <f t="shared" si="16"/>
        <v>0</v>
      </c>
      <c r="AA28" s="1329">
        <f t="shared" si="17"/>
        <v>0</v>
      </c>
      <c r="AB28" s="1329"/>
      <c r="AC28" s="1329">
        <f t="shared" si="18"/>
        <v>0</v>
      </c>
      <c r="AD28" s="1329"/>
      <c r="AE28" s="1329">
        <f t="shared" si="19"/>
        <v>0</v>
      </c>
      <c r="AF28" s="1329">
        <f t="shared" si="20"/>
        <v>0</v>
      </c>
      <c r="AG28" s="1330">
        <f t="shared" si="21"/>
        <v>0</v>
      </c>
      <c r="AH28" s="1330">
        <f t="shared" si="22"/>
        <v>0</v>
      </c>
    </row>
    <row r="29" spans="2:34">
      <c r="B29" s="1687"/>
      <c r="C29" s="1687"/>
      <c r="D29" s="1687"/>
      <c r="E29" s="2152"/>
      <c r="F29" s="1326"/>
      <c r="G29" s="1327"/>
      <c r="H29" s="1326"/>
      <c r="I29" s="1327"/>
      <c r="J29" s="1687"/>
      <c r="K29" s="1687"/>
      <c r="L29" s="1687"/>
      <c r="M29" s="1328"/>
      <c r="N29" s="1328"/>
      <c r="O29" s="1687"/>
      <c r="P29" s="1687"/>
      <c r="Q29" s="1687"/>
      <c r="R29" s="1326"/>
      <c r="S29" s="1327"/>
      <c r="T29" s="1326"/>
      <c r="U29" s="1326"/>
      <c r="V29" s="1329">
        <f t="shared" si="12"/>
        <v>0</v>
      </c>
      <c r="W29" s="1329">
        <f t="shared" si="13"/>
        <v>0</v>
      </c>
      <c r="X29" s="1329">
        <f t="shared" si="14"/>
        <v>0</v>
      </c>
      <c r="Y29" s="1329">
        <f t="shared" si="15"/>
        <v>0</v>
      </c>
      <c r="Z29" s="1329">
        <f t="shared" si="16"/>
        <v>0</v>
      </c>
      <c r="AA29" s="1329">
        <f t="shared" si="17"/>
        <v>0</v>
      </c>
      <c r="AB29" s="1329"/>
      <c r="AC29" s="1329">
        <f t="shared" si="18"/>
        <v>0</v>
      </c>
      <c r="AD29" s="1329"/>
      <c r="AE29" s="1329">
        <f t="shared" si="19"/>
        <v>0</v>
      </c>
      <c r="AF29" s="1329">
        <f t="shared" si="20"/>
        <v>0</v>
      </c>
      <c r="AG29" s="1330">
        <f t="shared" si="21"/>
        <v>0</v>
      </c>
      <c r="AH29" s="1330">
        <f t="shared" si="22"/>
        <v>0</v>
      </c>
    </row>
    <row r="30" spans="2:34">
      <c r="B30" s="1687"/>
      <c r="C30" s="1687"/>
      <c r="D30" s="1687"/>
      <c r="E30" s="2152"/>
      <c r="F30" s="1326"/>
      <c r="G30" s="1327"/>
      <c r="H30" s="1326"/>
      <c r="I30" s="1327"/>
      <c r="J30" s="1687"/>
      <c r="K30" s="1687"/>
      <c r="L30" s="1687"/>
      <c r="M30" s="1328"/>
      <c r="N30" s="1328"/>
      <c r="O30" s="1687"/>
      <c r="P30" s="1687"/>
      <c r="Q30" s="1687"/>
      <c r="R30" s="1326"/>
      <c r="S30" s="1327"/>
      <c r="T30" s="1326"/>
      <c r="U30" s="1326"/>
      <c r="V30" s="1329">
        <f t="shared" si="12"/>
        <v>0</v>
      </c>
      <c r="W30" s="1329">
        <f t="shared" si="13"/>
        <v>0</v>
      </c>
      <c r="X30" s="1329">
        <f t="shared" si="14"/>
        <v>0</v>
      </c>
      <c r="Y30" s="1329">
        <f t="shared" si="15"/>
        <v>0</v>
      </c>
      <c r="Z30" s="1329">
        <f t="shared" si="16"/>
        <v>0</v>
      </c>
      <c r="AA30" s="1329">
        <f t="shared" si="17"/>
        <v>0</v>
      </c>
      <c r="AB30" s="1329"/>
      <c r="AC30" s="1329">
        <f t="shared" si="18"/>
        <v>0</v>
      </c>
      <c r="AD30" s="1329"/>
      <c r="AE30" s="1329">
        <f t="shared" si="19"/>
        <v>0</v>
      </c>
      <c r="AF30" s="1329">
        <f t="shared" si="20"/>
        <v>0</v>
      </c>
      <c r="AG30" s="1330">
        <f t="shared" si="21"/>
        <v>0</v>
      </c>
      <c r="AH30" s="1330">
        <f t="shared" si="22"/>
        <v>0</v>
      </c>
    </row>
    <row r="31" spans="2:34">
      <c r="B31" s="1687"/>
      <c r="C31" s="1687"/>
      <c r="D31" s="1687"/>
      <c r="E31" s="2152"/>
      <c r="F31" s="1326"/>
      <c r="G31" s="1327"/>
      <c r="H31" s="1326"/>
      <c r="I31" s="1327"/>
      <c r="J31" s="1687"/>
      <c r="K31" s="1687"/>
      <c r="L31" s="1687"/>
      <c r="M31" s="1328"/>
      <c r="N31" s="1328"/>
      <c r="O31" s="1687"/>
      <c r="P31" s="1687"/>
      <c r="Q31" s="1687"/>
      <c r="R31" s="1326"/>
      <c r="S31" s="1327"/>
      <c r="T31" s="1326"/>
      <c r="U31" s="1326"/>
      <c r="V31" s="1329">
        <f t="shared" si="12"/>
        <v>0</v>
      </c>
      <c r="W31" s="1329">
        <f t="shared" si="13"/>
        <v>0</v>
      </c>
      <c r="X31" s="1329">
        <f t="shared" si="14"/>
        <v>0</v>
      </c>
      <c r="Y31" s="1329">
        <f t="shared" si="15"/>
        <v>0</v>
      </c>
      <c r="Z31" s="1329">
        <f t="shared" si="16"/>
        <v>0</v>
      </c>
      <c r="AA31" s="1329">
        <f t="shared" si="17"/>
        <v>0</v>
      </c>
      <c r="AB31" s="1329"/>
      <c r="AC31" s="1329">
        <f t="shared" si="18"/>
        <v>0</v>
      </c>
      <c r="AD31" s="1329"/>
      <c r="AE31" s="1329">
        <f t="shared" si="19"/>
        <v>0</v>
      </c>
      <c r="AF31" s="1329">
        <f t="shared" si="20"/>
        <v>0</v>
      </c>
      <c r="AG31" s="1330">
        <f t="shared" si="21"/>
        <v>0</v>
      </c>
      <c r="AH31" s="1330">
        <f t="shared" si="22"/>
        <v>0</v>
      </c>
    </row>
    <row r="32" spans="2:34">
      <c r="B32" s="1687"/>
      <c r="C32" s="1687"/>
      <c r="D32" s="1687"/>
      <c r="E32" s="2152"/>
      <c r="F32" s="1326"/>
      <c r="G32" s="1327"/>
      <c r="H32" s="1326"/>
      <c r="I32" s="1327"/>
      <c r="J32" s="1687"/>
      <c r="K32" s="1687"/>
      <c r="L32" s="1687"/>
      <c r="M32" s="1328"/>
      <c r="N32" s="1328"/>
      <c r="O32" s="1687"/>
      <c r="P32" s="1687"/>
      <c r="Q32" s="1687"/>
      <c r="R32" s="1326"/>
      <c r="S32" s="1327"/>
      <c r="T32" s="1326"/>
      <c r="U32" s="1326"/>
      <c r="V32" s="1329">
        <f t="shared" si="12"/>
        <v>0</v>
      </c>
      <c r="W32" s="1329">
        <f t="shared" si="13"/>
        <v>0</v>
      </c>
      <c r="X32" s="1329">
        <f t="shared" si="14"/>
        <v>0</v>
      </c>
      <c r="Y32" s="1329">
        <f t="shared" si="15"/>
        <v>0</v>
      </c>
      <c r="Z32" s="1329">
        <f t="shared" si="16"/>
        <v>0</v>
      </c>
      <c r="AA32" s="1329">
        <f t="shared" si="17"/>
        <v>0</v>
      </c>
      <c r="AB32" s="1329"/>
      <c r="AC32" s="1329">
        <f t="shared" si="18"/>
        <v>0</v>
      </c>
      <c r="AD32" s="1329"/>
      <c r="AE32" s="1329">
        <f t="shared" si="19"/>
        <v>0</v>
      </c>
      <c r="AF32" s="1329">
        <f t="shared" si="20"/>
        <v>0</v>
      </c>
      <c r="AG32" s="1330">
        <f t="shared" si="21"/>
        <v>0</v>
      </c>
      <c r="AH32" s="1330">
        <f t="shared" si="22"/>
        <v>0</v>
      </c>
    </row>
    <row r="33" spans="2:34">
      <c r="B33" s="1687"/>
      <c r="C33" s="1687"/>
      <c r="D33" s="1687"/>
      <c r="E33" s="2152"/>
      <c r="F33" s="1326"/>
      <c r="G33" s="1327"/>
      <c r="H33" s="1326"/>
      <c r="I33" s="1327"/>
      <c r="J33" s="1687"/>
      <c r="K33" s="1687"/>
      <c r="L33" s="1687"/>
      <c r="M33" s="1328"/>
      <c r="N33" s="1328"/>
      <c r="O33" s="1687"/>
      <c r="P33" s="1687"/>
      <c r="Q33" s="1687"/>
      <c r="R33" s="1326"/>
      <c r="S33" s="1327"/>
      <c r="T33" s="1326"/>
      <c r="U33" s="1326"/>
      <c r="V33" s="1329">
        <f t="shared" si="12"/>
        <v>0</v>
      </c>
      <c r="W33" s="1329">
        <f t="shared" si="13"/>
        <v>0</v>
      </c>
      <c r="X33" s="1329">
        <f t="shared" si="14"/>
        <v>0</v>
      </c>
      <c r="Y33" s="1329">
        <f t="shared" si="15"/>
        <v>0</v>
      </c>
      <c r="Z33" s="1329">
        <f t="shared" si="16"/>
        <v>0</v>
      </c>
      <c r="AA33" s="1329">
        <f t="shared" si="17"/>
        <v>0</v>
      </c>
      <c r="AB33" s="1329"/>
      <c r="AC33" s="1329">
        <f t="shared" si="18"/>
        <v>0</v>
      </c>
      <c r="AD33" s="1329"/>
      <c r="AE33" s="1329">
        <f t="shared" si="19"/>
        <v>0</v>
      </c>
      <c r="AF33" s="1329">
        <f t="shared" si="20"/>
        <v>0</v>
      </c>
      <c r="AG33" s="1330">
        <f t="shared" si="21"/>
        <v>0</v>
      </c>
      <c r="AH33" s="1330">
        <f t="shared" si="22"/>
        <v>0</v>
      </c>
    </row>
    <row r="34" spans="2:34">
      <c r="B34" s="1687"/>
      <c r="C34" s="1687"/>
      <c r="D34" s="1687"/>
      <c r="E34" s="2152"/>
      <c r="F34" s="1326"/>
      <c r="G34" s="1327"/>
      <c r="H34" s="1326"/>
      <c r="I34" s="1327"/>
      <c r="J34" s="1687"/>
      <c r="K34" s="1687"/>
      <c r="L34" s="1687"/>
      <c r="M34" s="1328"/>
      <c r="N34" s="1328"/>
      <c r="O34" s="1687"/>
      <c r="P34" s="1687"/>
      <c r="Q34" s="1687"/>
      <c r="R34" s="1326"/>
      <c r="S34" s="1327"/>
      <c r="T34" s="1326"/>
      <c r="U34" s="1326"/>
      <c r="V34" s="1329">
        <f t="shared" si="12"/>
        <v>0</v>
      </c>
      <c r="W34" s="1329">
        <f t="shared" si="13"/>
        <v>0</v>
      </c>
      <c r="X34" s="1329">
        <f t="shared" si="14"/>
        <v>0</v>
      </c>
      <c r="Y34" s="1329">
        <f t="shared" si="15"/>
        <v>0</v>
      </c>
      <c r="Z34" s="1329">
        <f t="shared" si="16"/>
        <v>0</v>
      </c>
      <c r="AA34" s="1329">
        <f t="shared" si="17"/>
        <v>0</v>
      </c>
      <c r="AB34" s="1329"/>
      <c r="AC34" s="1329">
        <f t="shared" si="18"/>
        <v>0</v>
      </c>
      <c r="AD34" s="1329"/>
      <c r="AE34" s="1329">
        <f t="shared" si="19"/>
        <v>0</v>
      </c>
      <c r="AF34" s="1329">
        <f t="shared" si="20"/>
        <v>0</v>
      </c>
      <c r="AG34" s="1330">
        <f t="shared" si="21"/>
        <v>0</v>
      </c>
      <c r="AH34" s="1330">
        <f t="shared" si="22"/>
        <v>0</v>
      </c>
    </row>
    <row r="35" spans="2:34">
      <c r="B35" s="1687"/>
      <c r="C35" s="1687"/>
      <c r="D35" s="1687"/>
      <c r="E35" s="2152"/>
      <c r="F35" s="1326"/>
      <c r="G35" s="1327"/>
      <c r="H35" s="1326"/>
      <c r="I35" s="1327"/>
      <c r="J35" s="1687"/>
      <c r="K35" s="1687"/>
      <c r="L35" s="1687"/>
      <c r="M35" s="1328"/>
      <c r="N35" s="1328"/>
      <c r="O35" s="1687"/>
      <c r="P35" s="1687"/>
      <c r="Q35" s="1687"/>
      <c r="R35" s="1326"/>
      <c r="S35" s="1327"/>
      <c r="T35" s="1326"/>
      <c r="U35" s="1326"/>
      <c r="V35" s="1329">
        <f t="shared" si="12"/>
        <v>0</v>
      </c>
      <c r="W35" s="1329">
        <f t="shared" si="13"/>
        <v>0</v>
      </c>
      <c r="X35" s="1329">
        <f t="shared" si="14"/>
        <v>0</v>
      </c>
      <c r="Y35" s="1329">
        <f t="shared" si="15"/>
        <v>0</v>
      </c>
      <c r="Z35" s="1329">
        <f t="shared" si="16"/>
        <v>0</v>
      </c>
      <c r="AA35" s="1329">
        <f t="shared" si="17"/>
        <v>0</v>
      </c>
      <c r="AB35" s="1329"/>
      <c r="AC35" s="1329">
        <f t="shared" si="18"/>
        <v>0</v>
      </c>
      <c r="AD35" s="1329"/>
      <c r="AE35" s="1329">
        <f t="shared" si="19"/>
        <v>0</v>
      </c>
      <c r="AF35" s="1329">
        <f t="shared" si="20"/>
        <v>0</v>
      </c>
      <c r="AG35" s="1330">
        <f t="shared" si="21"/>
        <v>0</v>
      </c>
      <c r="AH35" s="1330">
        <f t="shared" si="22"/>
        <v>0</v>
      </c>
    </row>
    <row r="36" spans="2:34">
      <c r="B36" s="1687"/>
      <c r="C36" s="1687"/>
      <c r="D36" s="1687"/>
      <c r="E36" s="2152"/>
      <c r="F36" s="1326"/>
      <c r="G36" s="1327"/>
      <c r="H36" s="1326"/>
      <c r="I36" s="1327"/>
      <c r="J36" s="1687"/>
      <c r="K36" s="1687"/>
      <c r="L36" s="1687"/>
      <c r="M36" s="1328"/>
      <c r="N36" s="1328"/>
      <c r="O36" s="1687"/>
      <c r="P36" s="1687"/>
      <c r="Q36" s="1687"/>
      <c r="R36" s="1326"/>
      <c r="S36" s="1327"/>
      <c r="T36" s="1326"/>
      <c r="U36" s="1326"/>
      <c r="V36" s="1329">
        <f t="shared" si="12"/>
        <v>0</v>
      </c>
      <c r="W36" s="1329">
        <f t="shared" si="13"/>
        <v>0</v>
      </c>
      <c r="X36" s="1329">
        <f t="shared" si="14"/>
        <v>0</v>
      </c>
      <c r="Y36" s="1329">
        <f t="shared" si="15"/>
        <v>0</v>
      </c>
      <c r="Z36" s="1329">
        <f t="shared" si="16"/>
        <v>0</v>
      </c>
      <c r="AA36" s="1329">
        <f t="shared" si="17"/>
        <v>0</v>
      </c>
      <c r="AB36" s="1329"/>
      <c r="AC36" s="1329">
        <f t="shared" si="18"/>
        <v>0</v>
      </c>
      <c r="AD36" s="1329"/>
      <c r="AE36" s="1329">
        <f t="shared" si="19"/>
        <v>0</v>
      </c>
      <c r="AF36" s="1329">
        <f t="shared" si="20"/>
        <v>0</v>
      </c>
      <c r="AG36" s="1330">
        <f t="shared" si="21"/>
        <v>0</v>
      </c>
      <c r="AH36" s="1330">
        <f t="shared" si="22"/>
        <v>0</v>
      </c>
    </row>
    <row r="37" spans="2:34">
      <c r="B37" s="1687"/>
      <c r="C37" s="1687"/>
      <c r="D37" s="1687"/>
      <c r="E37" s="2152"/>
      <c r="F37" s="1326"/>
      <c r="G37" s="1327"/>
      <c r="H37" s="1326"/>
      <c r="I37" s="1327"/>
      <c r="J37" s="1687"/>
      <c r="K37" s="1687"/>
      <c r="L37" s="1687"/>
      <c r="M37" s="1328"/>
      <c r="N37" s="1328"/>
      <c r="O37" s="1687"/>
      <c r="P37" s="1687"/>
      <c r="Q37" s="1687"/>
      <c r="R37" s="1326"/>
      <c r="S37" s="1327"/>
      <c r="T37" s="1326"/>
      <c r="U37" s="1326"/>
      <c r="V37" s="1329">
        <f t="shared" si="12"/>
        <v>0</v>
      </c>
      <c r="W37" s="1329">
        <f t="shared" si="13"/>
        <v>0</v>
      </c>
      <c r="X37" s="1329">
        <f t="shared" si="14"/>
        <v>0</v>
      </c>
      <c r="Y37" s="1329">
        <f t="shared" si="15"/>
        <v>0</v>
      </c>
      <c r="Z37" s="1329">
        <f t="shared" si="16"/>
        <v>0</v>
      </c>
      <c r="AA37" s="1329">
        <f t="shared" si="17"/>
        <v>0</v>
      </c>
      <c r="AB37" s="1329"/>
      <c r="AC37" s="1329">
        <f t="shared" si="18"/>
        <v>0</v>
      </c>
      <c r="AD37" s="1329"/>
      <c r="AE37" s="1329">
        <f t="shared" si="19"/>
        <v>0</v>
      </c>
      <c r="AF37" s="1329">
        <f t="shared" si="20"/>
        <v>0</v>
      </c>
      <c r="AG37" s="1330">
        <f t="shared" si="21"/>
        <v>0</v>
      </c>
      <c r="AH37" s="1330">
        <f t="shared" si="22"/>
        <v>0</v>
      </c>
    </row>
    <row r="38" spans="2:34">
      <c r="B38" s="1687"/>
      <c r="C38" s="1687"/>
      <c r="D38" s="1687"/>
      <c r="E38" s="2152"/>
      <c r="F38" s="1326"/>
      <c r="G38" s="1327"/>
      <c r="H38" s="1326"/>
      <c r="I38" s="1327"/>
      <c r="J38" s="1687"/>
      <c r="K38" s="1687"/>
      <c r="L38" s="1687"/>
      <c r="M38" s="1328"/>
      <c r="N38" s="1328"/>
      <c r="O38" s="1687"/>
      <c r="P38" s="1687"/>
      <c r="Q38" s="1687"/>
      <c r="R38" s="1326"/>
      <c r="S38" s="1327"/>
      <c r="T38" s="1326"/>
      <c r="U38" s="1326"/>
      <c r="V38" s="1329">
        <f t="shared" si="12"/>
        <v>0</v>
      </c>
      <c r="W38" s="1329">
        <f t="shared" si="13"/>
        <v>0</v>
      </c>
      <c r="X38" s="1329">
        <f t="shared" si="14"/>
        <v>0</v>
      </c>
      <c r="Y38" s="1329">
        <f t="shared" si="15"/>
        <v>0</v>
      </c>
      <c r="Z38" s="1329">
        <f t="shared" si="16"/>
        <v>0</v>
      </c>
      <c r="AA38" s="1329">
        <f t="shared" si="17"/>
        <v>0</v>
      </c>
      <c r="AB38" s="1329"/>
      <c r="AC38" s="1329">
        <f t="shared" si="18"/>
        <v>0</v>
      </c>
      <c r="AD38" s="1329"/>
      <c r="AE38" s="1329">
        <f t="shared" si="19"/>
        <v>0</v>
      </c>
      <c r="AF38" s="1329">
        <f t="shared" si="20"/>
        <v>0</v>
      </c>
      <c r="AG38" s="1330">
        <f t="shared" si="21"/>
        <v>0</v>
      </c>
      <c r="AH38" s="1330">
        <f t="shared" si="22"/>
        <v>0</v>
      </c>
    </row>
    <row r="39" spans="2:34">
      <c r="B39" s="1687"/>
      <c r="C39" s="1687"/>
      <c r="D39" s="1687"/>
      <c r="E39" s="2152"/>
      <c r="F39" s="1326"/>
      <c r="G39" s="1327"/>
      <c r="H39" s="1326"/>
      <c r="I39" s="1327"/>
      <c r="J39" s="1687"/>
      <c r="K39" s="1687"/>
      <c r="L39" s="1687"/>
      <c r="M39" s="1328"/>
      <c r="N39" s="1328"/>
      <c r="O39" s="1687"/>
      <c r="P39" s="1687"/>
      <c r="Q39" s="1687"/>
      <c r="R39" s="1326"/>
      <c r="S39" s="1327"/>
      <c r="T39" s="1326"/>
      <c r="U39" s="1326"/>
      <c r="V39" s="1329">
        <f t="shared" si="12"/>
        <v>0</v>
      </c>
      <c r="W39" s="1329">
        <f t="shared" si="13"/>
        <v>0</v>
      </c>
      <c r="X39" s="1329">
        <f t="shared" si="14"/>
        <v>0</v>
      </c>
      <c r="Y39" s="1329">
        <f t="shared" si="15"/>
        <v>0</v>
      </c>
      <c r="Z39" s="1329">
        <f t="shared" si="16"/>
        <v>0</v>
      </c>
      <c r="AA39" s="1329">
        <f t="shared" si="17"/>
        <v>0</v>
      </c>
      <c r="AB39" s="1329"/>
      <c r="AC39" s="1329">
        <f t="shared" si="18"/>
        <v>0</v>
      </c>
      <c r="AD39" s="1329"/>
      <c r="AE39" s="1329">
        <f t="shared" si="19"/>
        <v>0</v>
      </c>
      <c r="AF39" s="1329">
        <f t="shared" si="20"/>
        <v>0</v>
      </c>
      <c r="AG39" s="1330">
        <f t="shared" si="21"/>
        <v>0</v>
      </c>
      <c r="AH39" s="1330">
        <f t="shared" si="22"/>
        <v>0</v>
      </c>
    </row>
    <row r="40" spans="2:34">
      <c r="B40" s="1687"/>
      <c r="C40" s="1687"/>
      <c r="D40" s="1687"/>
      <c r="E40" s="2152"/>
      <c r="F40" s="1326"/>
      <c r="G40" s="1327"/>
      <c r="H40" s="1326"/>
      <c r="I40" s="1327"/>
      <c r="J40" s="1687"/>
      <c r="K40" s="1687"/>
      <c r="L40" s="1687"/>
      <c r="M40" s="1328"/>
      <c r="N40" s="1328"/>
      <c r="O40" s="1687"/>
      <c r="P40" s="1687"/>
      <c r="Q40" s="1687"/>
      <c r="R40" s="1326"/>
      <c r="S40" s="1327"/>
      <c r="T40" s="1326"/>
      <c r="U40" s="1326"/>
      <c r="V40" s="1329">
        <f t="shared" ref="V40:V122" si="23">IF(F40&gt;=0,0,"c50&gt;=0")</f>
        <v>0</v>
      </c>
      <c r="W40" s="1329">
        <f t="shared" ref="W40:W122" si="24">IF(H40&gt;=0,0,"c70&gt;=0")</f>
        <v>0</v>
      </c>
      <c r="X40" s="1329">
        <f t="shared" ref="X40:X122" si="25">IF(M40&lt;=1,0,"c110&lt;=1")</f>
        <v>0</v>
      </c>
      <c r="Y40" s="1329">
        <f t="shared" ref="Y40:Y122" si="26">IF(M40&gt;=0,0,"c110&gt;=0")</f>
        <v>0</v>
      </c>
      <c r="Z40" s="1329">
        <f t="shared" ref="Z40:Z122" si="27">IF(N40&lt;=1,0,"c120&lt;=1")</f>
        <v>0</v>
      </c>
      <c r="AA40" s="1329">
        <f t="shared" ref="AA40:AA122" si="28">IF(N40&gt;=0,0,"c120&gt;=0")</f>
        <v>0</v>
      </c>
      <c r="AB40" s="1329"/>
      <c r="AC40" s="1329">
        <f t="shared" ref="AC40:AC122" si="29">IF(R40&gt;=0,0,"c160&gt;=0")</f>
        <v>0</v>
      </c>
      <c r="AD40" s="1329"/>
      <c r="AE40" s="1329">
        <f t="shared" ref="AE40:AE122" si="30">IF(T40&gt;=0,0,"c180&gt;=0")</f>
        <v>0</v>
      </c>
      <c r="AF40" s="1329">
        <f t="shared" ref="AF40:AF122" si="31">IF(U40&gt;=0,0,"c190&gt;=0")</f>
        <v>0</v>
      </c>
      <c r="AG40" s="1330">
        <f t="shared" si="21"/>
        <v>0</v>
      </c>
      <c r="AH40" s="1330">
        <f t="shared" si="22"/>
        <v>0</v>
      </c>
    </row>
    <row r="41" spans="2:34">
      <c r="B41" s="1687"/>
      <c r="C41" s="1687"/>
      <c r="D41" s="1687"/>
      <c r="E41" s="2152"/>
      <c r="F41" s="1326"/>
      <c r="G41" s="1327"/>
      <c r="H41" s="1326"/>
      <c r="I41" s="1327"/>
      <c r="J41" s="1687"/>
      <c r="K41" s="1687"/>
      <c r="L41" s="1687"/>
      <c r="M41" s="1328"/>
      <c r="N41" s="1328"/>
      <c r="O41" s="1687"/>
      <c r="P41" s="1687"/>
      <c r="Q41" s="1687"/>
      <c r="R41" s="1326"/>
      <c r="S41" s="1327"/>
      <c r="T41" s="1326"/>
      <c r="U41" s="1326"/>
      <c r="V41" s="1329">
        <f t="shared" si="23"/>
        <v>0</v>
      </c>
      <c r="W41" s="1329">
        <f t="shared" si="24"/>
        <v>0</v>
      </c>
      <c r="X41" s="1329">
        <f t="shared" si="25"/>
        <v>0</v>
      </c>
      <c r="Y41" s="1329">
        <f t="shared" si="26"/>
        <v>0</v>
      </c>
      <c r="Z41" s="1329">
        <f t="shared" si="27"/>
        <v>0</v>
      </c>
      <c r="AA41" s="1329">
        <f t="shared" si="28"/>
        <v>0</v>
      </c>
      <c r="AB41" s="1329"/>
      <c r="AC41" s="1329">
        <f t="shared" si="29"/>
        <v>0</v>
      </c>
      <c r="AD41" s="1329"/>
      <c r="AE41" s="1329">
        <f t="shared" si="30"/>
        <v>0</v>
      </c>
      <c r="AF41" s="1329">
        <f t="shared" si="31"/>
        <v>0</v>
      </c>
      <c r="AG41" s="1330">
        <f t="shared" si="21"/>
        <v>0</v>
      </c>
      <c r="AH41" s="1330">
        <f t="shared" si="22"/>
        <v>0</v>
      </c>
    </row>
    <row r="42" spans="2:34">
      <c r="B42" s="1687"/>
      <c r="C42" s="1687"/>
      <c r="D42" s="1687"/>
      <c r="E42" s="2152"/>
      <c r="F42" s="1326"/>
      <c r="G42" s="1327"/>
      <c r="H42" s="1326"/>
      <c r="I42" s="1327"/>
      <c r="J42" s="1687"/>
      <c r="K42" s="1687"/>
      <c r="L42" s="1687"/>
      <c r="M42" s="1328"/>
      <c r="N42" s="1328"/>
      <c r="O42" s="1687"/>
      <c r="P42" s="1687"/>
      <c r="Q42" s="1687"/>
      <c r="R42" s="1326"/>
      <c r="S42" s="1327"/>
      <c r="T42" s="1326"/>
      <c r="U42" s="1326"/>
      <c r="V42" s="1329">
        <f t="shared" si="23"/>
        <v>0</v>
      </c>
      <c r="W42" s="1329">
        <f t="shared" si="24"/>
        <v>0</v>
      </c>
      <c r="X42" s="1329">
        <f t="shared" si="25"/>
        <v>0</v>
      </c>
      <c r="Y42" s="1329">
        <f t="shared" si="26"/>
        <v>0</v>
      </c>
      <c r="Z42" s="1329">
        <f t="shared" si="27"/>
        <v>0</v>
      </c>
      <c r="AA42" s="1329">
        <f t="shared" si="28"/>
        <v>0</v>
      </c>
      <c r="AB42" s="1329"/>
      <c r="AC42" s="1329">
        <f t="shared" si="29"/>
        <v>0</v>
      </c>
      <c r="AD42" s="1329"/>
      <c r="AE42" s="1329">
        <f t="shared" si="30"/>
        <v>0</v>
      </c>
      <c r="AF42" s="1329">
        <f t="shared" si="31"/>
        <v>0</v>
      </c>
      <c r="AG42" s="1330">
        <f t="shared" si="21"/>
        <v>0</v>
      </c>
      <c r="AH42" s="1330">
        <f t="shared" si="22"/>
        <v>0</v>
      </c>
    </row>
    <row r="43" spans="2:34">
      <c r="B43" s="1687"/>
      <c r="C43" s="1687"/>
      <c r="D43" s="1687"/>
      <c r="E43" s="2152"/>
      <c r="F43" s="1326"/>
      <c r="G43" s="1327"/>
      <c r="H43" s="1326"/>
      <c r="I43" s="1327"/>
      <c r="J43" s="1687"/>
      <c r="K43" s="1687"/>
      <c r="L43" s="1687"/>
      <c r="M43" s="1328"/>
      <c r="N43" s="1328"/>
      <c r="O43" s="1687"/>
      <c r="P43" s="1687"/>
      <c r="Q43" s="1687"/>
      <c r="R43" s="1326"/>
      <c r="S43" s="1327"/>
      <c r="T43" s="1326"/>
      <c r="U43" s="1326"/>
      <c r="V43" s="1329">
        <f t="shared" si="23"/>
        <v>0</v>
      </c>
      <c r="W43" s="1329">
        <f t="shared" si="24"/>
        <v>0</v>
      </c>
      <c r="X43" s="1329">
        <f t="shared" si="25"/>
        <v>0</v>
      </c>
      <c r="Y43" s="1329">
        <f t="shared" si="26"/>
        <v>0</v>
      </c>
      <c r="Z43" s="1329">
        <f t="shared" si="27"/>
        <v>0</v>
      </c>
      <c r="AA43" s="1329">
        <f t="shared" si="28"/>
        <v>0</v>
      </c>
      <c r="AB43" s="1329"/>
      <c r="AC43" s="1329">
        <f t="shared" si="29"/>
        <v>0</v>
      </c>
      <c r="AD43" s="1329"/>
      <c r="AE43" s="1329">
        <f t="shared" si="30"/>
        <v>0</v>
      </c>
      <c r="AF43" s="1329">
        <f t="shared" si="31"/>
        <v>0</v>
      </c>
      <c r="AG43" s="1330">
        <f t="shared" si="21"/>
        <v>0</v>
      </c>
      <c r="AH43" s="1330">
        <f t="shared" si="22"/>
        <v>0</v>
      </c>
    </row>
    <row r="44" spans="2:34">
      <c r="B44" s="1687"/>
      <c r="C44" s="1687"/>
      <c r="D44" s="1687"/>
      <c r="E44" s="2152"/>
      <c r="F44" s="1326"/>
      <c r="G44" s="1327"/>
      <c r="H44" s="1326"/>
      <c r="I44" s="1327"/>
      <c r="J44" s="1687"/>
      <c r="K44" s="1687"/>
      <c r="L44" s="1687"/>
      <c r="M44" s="1328"/>
      <c r="N44" s="1328"/>
      <c r="O44" s="1687"/>
      <c r="P44" s="1687"/>
      <c r="Q44" s="1687"/>
      <c r="R44" s="1326"/>
      <c r="S44" s="1327"/>
      <c r="T44" s="1326"/>
      <c r="U44" s="1326"/>
      <c r="V44" s="1329">
        <f t="shared" si="23"/>
        <v>0</v>
      </c>
      <c r="W44" s="1329">
        <f t="shared" si="24"/>
        <v>0</v>
      </c>
      <c r="X44" s="1329">
        <f t="shared" si="25"/>
        <v>0</v>
      </c>
      <c r="Y44" s="1329">
        <f t="shared" si="26"/>
        <v>0</v>
      </c>
      <c r="Z44" s="1329">
        <f t="shared" si="27"/>
        <v>0</v>
      </c>
      <c r="AA44" s="1329">
        <f t="shared" si="28"/>
        <v>0</v>
      </c>
      <c r="AB44" s="1329"/>
      <c r="AC44" s="1329">
        <f t="shared" si="29"/>
        <v>0</v>
      </c>
      <c r="AD44" s="1329"/>
      <c r="AE44" s="1329">
        <f t="shared" si="30"/>
        <v>0</v>
      </c>
      <c r="AF44" s="1329">
        <f t="shared" si="31"/>
        <v>0</v>
      </c>
      <c r="AG44" s="1330">
        <f t="shared" si="21"/>
        <v>0</v>
      </c>
      <c r="AH44" s="1330">
        <f t="shared" si="22"/>
        <v>0</v>
      </c>
    </row>
    <row r="45" spans="2:34">
      <c r="B45" s="1687"/>
      <c r="C45" s="1687"/>
      <c r="D45" s="1687"/>
      <c r="E45" s="2152"/>
      <c r="F45" s="1326"/>
      <c r="G45" s="1327"/>
      <c r="H45" s="1326"/>
      <c r="I45" s="1327"/>
      <c r="J45" s="1687"/>
      <c r="K45" s="1687"/>
      <c r="L45" s="1687"/>
      <c r="M45" s="1328"/>
      <c r="N45" s="1328"/>
      <c r="O45" s="1687"/>
      <c r="P45" s="1687"/>
      <c r="Q45" s="1687"/>
      <c r="R45" s="1326"/>
      <c r="S45" s="1327"/>
      <c r="T45" s="1326"/>
      <c r="U45" s="1326"/>
      <c r="V45" s="1329">
        <f t="shared" si="23"/>
        <v>0</v>
      </c>
      <c r="W45" s="1329">
        <f t="shared" si="24"/>
        <v>0</v>
      </c>
      <c r="X45" s="1329">
        <f t="shared" si="25"/>
        <v>0</v>
      </c>
      <c r="Y45" s="1329">
        <f t="shared" si="26"/>
        <v>0</v>
      </c>
      <c r="Z45" s="1329">
        <f t="shared" si="27"/>
        <v>0</v>
      </c>
      <c r="AA45" s="1329">
        <f t="shared" si="28"/>
        <v>0</v>
      </c>
      <c r="AB45" s="1329"/>
      <c r="AC45" s="1329">
        <f t="shared" si="29"/>
        <v>0</v>
      </c>
      <c r="AD45" s="1329"/>
      <c r="AE45" s="1329">
        <f t="shared" si="30"/>
        <v>0</v>
      </c>
      <c r="AF45" s="1329">
        <f t="shared" si="31"/>
        <v>0</v>
      </c>
      <c r="AG45" s="1330">
        <f t="shared" si="21"/>
        <v>0</v>
      </c>
      <c r="AH45" s="1330">
        <f t="shared" si="22"/>
        <v>0</v>
      </c>
    </row>
    <row r="46" spans="2:34">
      <c r="B46" s="1687"/>
      <c r="C46" s="1687"/>
      <c r="D46" s="1687"/>
      <c r="E46" s="2152"/>
      <c r="F46" s="1326"/>
      <c r="G46" s="1327"/>
      <c r="H46" s="1326"/>
      <c r="I46" s="1327"/>
      <c r="J46" s="1687"/>
      <c r="K46" s="1687"/>
      <c r="L46" s="1687"/>
      <c r="M46" s="1328"/>
      <c r="N46" s="1328"/>
      <c r="O46" s="1687"/>
      <c r="P46" s="1687"/>
      <c r="Q46" s="1687"/>
      <c r="R46" s="1326"/>
      <c r="S46" s="1327"/>
      <c r="T46" s="1326"/>
      <c r="U46" s="1326"/>
      <c r="V46" s="1329">
        <f t="shared" si="23"/>
        <v>0</v>
      </c>
      <c r="W46" s="1329">
        <f t="shared" si="24"/>
        <v>0</v>
      </c>
      <c r="X46" s="1329">
        <f t="shared" si="25"/>
        <v>0</v>
      </c>
      <c r="Y46" s="1329">
        <f t="shared" si="26"/>
        <v>0</v>
      </c>
      <c r="Z46" s="1329">
        <f t="shared" si="27"/>
        <v>0</v>
      </c>
      <c r="AA46" s="1329">
        <f t="shared" si="28"/>
        <v>0</v>
      </c>
      <c r="AB46" s="1329"/>
      <c r="AC46" s="1329">
        <f t="shared" si="29"/>
        <v>0</v>
      </c>
      <c r="AD46" s="1329"/>
      <c r="AE46" s="1329">
        <f t="shared" si="30"/>
        <v>0</v>
      </c>
      <c r="AF46" s="1329">
        <f t="shared" si="31"/>
        <v>0</v>
      </c>
      <c r="AG46" s="1330">
        <f t="shared" si="21"/>
        <v>0</v>
      </c>
      <c r="AH46" s="1330">
        <f t="shared" si="22"/>
        <v>0</v>
      </c>
    </row>
    <row r="47" spans="2:34">
      <c r="B47" s="1687"/>
      <c r="C47" s="1687"/>
      <c r="D47" s="1687"/>
      <c r="E47" s="2152"/>
      <c r="F47" s="1326"/>
      <c r="G47" s="1327"/>
      <c r="H47" s="1326"/>
      <c r="I47" s="1327"/>
      <c r="J47" s="1687"/>
      <c r="K47" s="1687"/>
      <c r="L47" s="1687"/>
      <c r="M47" s="1328"/>
      <c r="N47" s="1328"/>
      <c r="O47" s="1687"/>
      <c r="P47" s="1687"/>
      <c r="Q47" s="1687"/>
      <c r="R47" s="1326"/>
      <c r="S47" s="1327"/>
      <c r="T47" s="1326"/>
      <c r="U47" s="1326"/>
      <c r="V47" s="1329">
        <f t="shared" si="23"/>
        <v>0</v>
      </c>
      <c r="W47" s="1329">
        <f t="shared" si="24"/>
        <v>0</v>
      </c>
      <c r="X47" s="1329">
        <f t="shared" si="25"/>
        <v>0</v>
      </c>
      <c r="Y47" s="1329">
        <f t="shared" si="26"/>
        <v>0</v>
      </c>
      <c r="Z47" s="1329">
        <f t="shared" si="27"/>
        <v>0</v>
      </c>
      <c r="AA47" s="1329">
        <f t="shared" si="28"/>
        <v>0</v>
      </c>
      <c r="AB47" s="1329"/>
      <c r="AC47" s="1329">
        <f t="shared" si="29"/>
        <v>0</v>
      </c>
      <c r="AD47" s="1329"/>
      <c r="AE47" s="1329">
        <f t="shared" si="30"/>
        <v>0</v>
      </c>
      <c r="AF47" s="1329">
        <f t="shared" si="31"/>
        <v>0</v>
      </c>
      <c r="AG47" s="1330">
        <f t="shared" si="21"/>
        <v>0</v>
      </c>
      <c r="AH47" s="1330">
        <f t="shared" si="22"/>
        <v>0</v>
      </c>
    </row>
    <row r="48" spans="2:34">
      <c r="B48" s="1687"/>
      <c r="C48" s="1687"/>
      <c r="D48" s="1687"/>
      <c r="E48" s="2152"/>
      <c r="F48" s="1326"/>
      <c r="G48" s="1327"/>
      <c r="H48" s="1326"/>
      <c r="I48" s="1327"/>
      <c r="J48" s="1687"/>
      <c r="K48" s="1687"/>
      <c r="L48" s="1687"/>
      <c r="M48" s="1328"/>
      <c r="N48" s="1328"/>
      <c r="O48" s="1687"/>
      <c r="P48" s="1687"/>
      <c r="Q48" s="1687"/>
      <c r="R48" s="1326"/>
      <c r="S48" s="1327"/>
      <c r="T48" s="1326"/>
      <c r="U48" s="1326"/>
      <c r="V48" s="1329">
        <f t="shared" si="23"/>
        <v>0</v>
      </c>
      <c r="W48" s="1329">
        <f t="shared" si="24"/>
        <v>0</v>
      </c>
      <c r="X48" s="1329">
        <f t="shared" si="25"/>
        <v>0</v>
      </c>
      <c r="Y48" s="1329">
        <f t="shared" si="26"/>
        <v>0</v>
      </c>
      <c r="Z48" s="1329">
        <f t="shared" si="27"/>
        <v>0</v>
      </c>
      <c r="AA48" s="1329">
        <f t="shared" si="28"/>
        <v>0</v>
      </c>
      <c r="AB48" s="1329"/>
      <c r="AC48" s="1329">
        <f t="shared" si="29"/>
        <v>0</v>
      </c>
      <c r="AD48" s="1329"/>
      <c r="AE48" s="1329">
        <f t="shared" si="30"/>
        <v>0</v>
      </c>
      <c r="AF48" s="1329">
        <f t="shared" si="31"/>
        <v>0</v>
      </c>
      <c r="AG48" s="1330">
        <f t="shared" si="21"/>
        <v>0</v>
      </c>
      <c r="AH48" s="1330">
        <f t="shared" si="22"/>
        <v>0</v>
      </c>
    </row>
    <row r="49" spans="2:34">
      <c r="B49" s="1687"/>
      <c r="C49" s="1687"/>
      <c r="D49" s="1687"/>
      <c r="E49" s="2152"/>
      <c r="F49" s="1326"/>
      <c r="G49" s="1327"/>
      <c r="H49" s="1326"/>
      <c r="I49" s="1327"/>
      <c r="J49" s="1687"/>
      <c r="K49" s="1687"/>
      <c r="L49" s="1687"/>
      <c r="M49" s="1328"/>
      <c r="N49" s="1328"/>
      <c r="O49" s="1687"/>
      <c r="P49" s="1687"/>
      <c r="Q49" s="1687"/>
      <c r="R49" s="1326"/>
      <c r="S49" s="1327"/>
      <c r="T49" s="1326"/>
      <c r="U49" s="1326"/>
      <c r="V49" s="1329">
        <f t="shared" si="23"/>
        <v>0</v>
      </c>
      <c r="W49" s="1329">
        <f t="shared" si="24"/>
        <v>0</v>
      </c>
      <c r="X49" s="1329">
        <f t="shared" si="25"/>
        <v>0</v>
      </c>
      <c r="Y49" s="1329">
        <f t="shared" si="26"/>
        <v>0</v>
      </c>
      <c r="Z49" s="1329">
        <f t="shared" si="27"/>
        <v>0</v>
      </c>
      <c r="AA49" s="1329">
        <f t="shared" si="28"/>
        <v>0</v>
      </c>
      <c r="AB49" s="1329"/>
      <c r="AC49" s="1329">
        <f t="shared" si="29"/>
        <v>0</v>
      </c>
      <c r="AD49" s="1329"/>
      <c r="AE49" s="1329">
        <f t="shared" si="30"/>
        <v>0</v>
      </c>
      <c r="AF49" s="1329">
        <f t="shared" si="31"/>
        <v>0</v>
      </c>
      <c r="AG49" s="1330">
        <f t="shared" si="21"/>
        <v>0</v>
      </c>
      <c r="AH49" s="1330">
        <f t="shared" si="22"/>
        <v>0</v>
      </c>
    </row>
    <row r="50" spans="2:34">
      <c r="B50" s="1687"/>
      <c r="C50" s="1687"/>
      <c r="D50" s="1687"/>
      <c r="E50" s="2152"/>
      <c r="F50" s="1326"/>
      <c r="G50" s="1327"/>
      <c r="H50" s="1326"/>
      <c r="I50" s="1327"/>
      <c r="J50" s="1687"/>
      <c r="K50" s="1687"/>
      <c r="L50" s="1687"/>
      <c r="M50" s="1328"/>
      <c r="N50" s="1328"/>
      <c r="O50" s="1687"/>
      <c r="P50" s="1687"/>
      <c r="Q50" s="1687"/>
      <c r="R50" s="1326"/>
      <c r="S50" s="1327"/>
      <c r="T50" s="1326"/>
      <c r="U50" s="1326"/>
      <c r="V50" s="1329">
        <f t="shared" si="23"/>
        <v>0</v>
      </c>
      <c r="W50" s="1329">
        <f t="shared" si="24"/>
        <v>0</v>
      </c>
      <c r="X50" s="1329">
        <f t="shared" si="25"/>
        <v>0</v>
      </c>
      <c r="Y50" s="1329">
        <f t="shared" si="26"/>
        <v>0</v>
      </c>
      <c r="Z50" s="1329">
        <f t="shared" si="27"/>
        <v>0</v>
      </c>
      <c r="AA50" s="1329">
        <f t="shared" si="28"/>
        <v>0</v>
      </c>
      <c r="AB50" s="1329"/>
      <c r="AC50" s="1329">
        <f t="shared" si="29"/>
        <v>0</v>
      </c>
      <c r="AD50" s="1329"/>
      <c r="AE50" s="1329">
        <f t="shared" si="30"/>
        <v>0</v>
      </c>
      <c r="AF50" s="1329">
        <f t="shared" si="31"/>
        <v>0</v>
      </c>
      <c r="AG50" s="1330">
        <f t="shared" si="21"/>
        <v>0</v>
      </c>
      <c r="AH50" s="1330">
        <f t="shared" si="22"/>
        <v>0</v>
      </c>
    </row>
    <row r="51" spans="2:34">
      <c r="B51" s="1687"/>
      <c r="C51" s="1687"/>
      <c r="D51" s="1687"/>
      <c r="E51" s="2152"/>
      <c r="F51" s="1326"/>
      <c r="G51" s="1327"/>
      <c r="H51" s="1326"/>
      <c r="I51" s="1327"/>
      <c r="J51" s="1687"/>
      <c r="K51" s="1687"/>
      <c r="L51" s="1687"/>
      <c r="M51" s="1328"/>
      <c r="N51" s="1328"/>
      <c r="O51" s="1687"/>
      <c r="P51" s="1687"/>
      <c r="Q51" s="1687"/>
      <c r="R51" s="1326"/>
      <c r="S51" s="1327"/>
      <c r="T51" s="1326"/>
      <c r="U51" s="1326"/>
      <c r="V51" s="1329">
        <f t="shared" si="23"/>
        <v>0</v>
      </c>
      <c r="W51" s="1329">
        <f t="shared" si="24"/>
        <v>0</v>
      </c>
      <c r="X51" s="1329">
        <f t="shared" si="25"/>
        <v>0</v>
      </c>
      <c r="Y51" s="1329">
        <f t="shared" si="26"/>
        <v>0</v>
      </c>
      <c r="Z51" s="1329">
        <f t="shared" si="27"/>
        <v>0</v>
      </c>
      <c r="AA51" s="1329">
        <f t="shared" si="28"/>
        <v>0</v>
      </c>
      <c r="AB51" s="1329"/>
      <c r="AC51" s="1329">
        <f t="shared" si="29"/>
        <v>0</v>
      </c>
      <c r="AD51" s="1329"/>
      <c r="AE51" s="1329">
        <f t="shared" si="30"/>
        <v>0</v>
      </c>
      <c r="AF51" s="1329">
        <f t="shared" si="31"/>
        <v>0</v>
      </c>
      <c r="AG51" s="1330">
        <f t="shared" si="21"/>
        <v>0</v>
      </c>
      <c r="AH51" s="1330">
        <f t="shared" si="22"/>
        <v>0</v>
      </c>
    </row>
    <row r="52" spans="2:34">
      <c r="B52" s="1687"/>
      <c r="C52" s="1687"/>
      <c r="D52" s="1687"/>
      <c r="E52" s="2152"/>
      <c r="F52" s="1326"/>
      <c r="G52" s="1327"/>
      <c r="H52" s="1326"/>
      <c r="I52" s="1327"/>
      <c r="J52" s="1687"/>
      <c r="K52" s="1687"/>
      <c r="L52" s="1687"/>
      <c r="M52" s="1328"/>
      <c r="N52" s="1328"/>
      <c r="O52" s="1687"/>
      <c r="P52" s="1687"/>
      <c r="Q52" s="1687"/>
      <c r="R52" s="1326"/>
      <c r="S52" s="1327"/>
      <c r="T52" s="1326"/>
      <c r="U52" s="1326"/>
      <c r="V52" s="1329">
        <f t="shared" si="23"/>
        <v>0</v>
      </c>
      <c r="W52" s="1329">
        <f t="shared" si="24"/>
        <v>0</v>
      </c>
      <c r="X52" s="1329">
        <f t="shared" si="25"/>
        <v>0</v>
      </c>
      <c r="Y52" s="1329">
        <f t="shared" si="26"/>
        <v>0</v>
      </c>
      <c r="Z52" s="1329">
        <f t="shared" si="27"/>
        <v>0</v>
      </c>
      <c r="AA52" s="1329">
        <f t="shared" si="28"/>
        <v>0</v>
      </c>
      <c r="AB52" s="1329"/>
      <c r="AC52" s="1329">
        <f t="shared" si="29"/>
        <v>0</v>
      </c>
      <c r="AD52" s="1329"/>
      <c r="AE52" s="1329">
        <f t="shared" si="30"/>
        <v>0</v>
      </c>
      <c r="AF52" s="1329">
        <f t="shared" si="31"/>
        <v>0</v>
      </c>
      <c r="AG52" s="1330">
        <f t="shared" si="21"/>
        <v>0</v>
      </c>
      <c r="AH52" s="1330">
        <f t="shared" si="22"/>
        <v>0</v>
      </c>
    </row>
    <row r="53" spans="2:34">
      <c r="B53" s="1687"/>
      <c r="C53" s="1687"/>
      <c r="D53" s="1687"/>
      <c r="E53" s="2152"/>
      <c r="F53" s="1326"/>
      <c r="G53" s="1327"/>
      <c r="H53" s="1326"/>
      <c r="I53" s="1327"/>
      <c r="J53" s="1687"/>
      <c r="K53" s="1687"/>
      <c r="L53" s="1687"/>
      <c r="M53" s="1328"/>
      <c r="N53" s="1328"/>
      <c r="O53" s="1687"/>
      <c r="P53" s="1687"/>
      <c r="Q53" s="1687"/>
      <c r="R53" s="1326"/>
      <c r="S53" s="1327"/>
      <c r="T53" s="1326"/>
      <c r="U53" s="1326"/>
      <c r="V53" s="1329">
        <f t="shared" si="23"/>
        <v>0</v>
      </c>
      <c r="W53" s="1329">
        <f t="shared" si="24"/>
        <v>0</v>
      </c>
      <c r="X53" s="1329">
        <f t="shared" si="25"/>
        <v>0</v>
      </c>
      <c r="Y53" s="1329">
        <f t="shared" si="26"/>
        <v>0</v>
      </c>
      <c r="Z53" s="1329">
        <f t="shared" si="27"/>
        <v>0</v>
      </c>
      <c r="AA53" s="1329">
        <f t="shared" si="28"/>
        <v>0</v>
      </c>
      <c r="AB53" s="1329"/>
      <c r="AC53" s="1329">
        <f t="shared" si="29"/>
        <v>0</v>
      </c>
      <c r="AD53" s="1329"/>
      <c r="AE53" s="1329">
        <f t="shared" si="30"/>
        <v>0</v>
      </c>
      <c r="AF53" s="1329">
        <f t="shared" si="31"/>
        <v>0</v>
      </c>
      <c r="AG53" s="1330">
        <f t="shared" si="21"/>
        <v>0</v>
      </c>
      <c r="AH53" s="1330">
        <f t="shared" si="22"/>
        <v>0</v>
      </c>
    </row>
    <row r="54" spans="2:34">
      <c r="B54" s="1687"/>
      <c r="C54" s="1687"/>
      <c r="D54" s="1687"/>
      <c r="E54" s="2152"/>
      <c r="F54" s="1326"/>
      <c r="G54" s="1327"/>
      <c r="H54" s="1326"/>
      <c r="I54" s="1327"/>
      <c r="J54" s="1687"/>
      <c r="K54" s="1687"/>
      <c r="L54" s="1687"/>
      <c r="M54" s="1328"/>
      <c r="N54" s="1328"/>
      <c r="O54" s="1687"/>
      <c r="P54" s="1687"/>
      <c r="Q54" s="1687"/>
      <c r="R54" s="1326"/>
      <c r="S54" s="1327"/>
      <c r="T54" s="1326"/>
      <c r="U54" s="1326"/>
      <c r="V54" s="1329">
        <f t="shared" si="23"/>
        <v>0</v>
      </c>
      <c r="W54" s="1329">
        <f t="shared" si="24"/>
        <v>0</v>
      </c>
      <c r="X54" s="1329">
        <f t="shared" si="25"/>
        <v>0</v>
      </c>
      <c r="Y54" s="1329">
        <f t="shared" si="26"/>
        <v>0</v>
      </c>
      <c r="Z54" s="1329">
        <f t="shared" si="27"/>
        <v>0</v>
      </c>
      <c r="AA54" s="1329">
        <f t="shared" si="28"/>
        <v>0</v>
      </c>
      <c r="AB54" s="1329"/>
      <c r="AC54" s="1329">
        <f t="shared" si="29"/>
        <v>0</v>
      </c>
      <c r="AD54" s="1329"/>
      <c r="AE54" s="1329">
        <f t="shared" si="30"/>
        <v>0</v>
      </c>
      <c r="AF54" s="1329">
        <f t="shared" si="31"/>
        <v>0</v>
      </c>
      <c r="AG54" s="1330">
        <f t="shared" si="21"/>
        <v>0</v>
      </c>
      <c r="AH54" s="1330">
        <f t="shared" si="22"/>
        <v>0</v>
      </c>
    </row>
    <row r="55" spans="2:34">
      <c r="B55" s="1687"/>
      <c r="C55" s="1687"/>
      <c r="D55" s="1687"/>
      <c r="E55" s="2152"/>
      <c r="F55" s="1326"/>
      <c r="G55" s="1327"/>
      <c r="H55" s="1326"/>
      <c r="I55" s="1327"/>
      <c r="J55" s="1687"/>
      <c r="K55" s="1687"/>
      <c r="L55" s="1687"/>
      <c r="M55" s="1328"/>
      <c r="N55" s="1328"/>
      <c r="O55" s="1687"/>
      <c r="P55" s="1687"/>
      <c r="Q55" s="1687"/>
      <c r="R55" s="1326"/>
      <c r="S55" s="1327"/>
      <c r="T55" s="1326"/>
      <c r="U55" s="1326"/>
      <c r="V55" s="1329">
        <f t="shared" si="23"/>
        <v>0</v>
      </c>
      <c r="W55" s="1329">
        <f t="shared" si="24"/>
        <v>0</v>
      </c>
      <c r="X55" s="1329">
        <f t="shared" si="25"/>
        <v>0</v>
      </c>
      <c r="Y55" s="1329">
        <f t="shared" si="26"/>
        <v>0</v>
      </c>
      <c r="Z55" s="1329">
        <f t="shared" si="27"/>
        <v>0</v>
      </c>
      <c r="AA55" s="1329">
        <f t="shared" si="28"/>
        <v>0</v>
      </c>
      <c r="AB55" s="1329"/>
      <c r="AC55" s="1329">
        <f t="shared" si="29"/>
        <v>0</v>
      </c>
      <c r="AD55" s="1329"/>
      <c r="AE55" s="1329">
        <f t="shared" si="30"/>
        <v>0</v>
      </c>
      <c r="AF55" s="1329">
        <f t="shared" si="31"/>
        <v>0</v>
      </c>
      <c r="AG55" s="1330">
        <f t="shared" si="21"/>
        <v>0</v>
      </c>
      <c r="AH55" s="1330">
        <f t="shared" si="22"/>
        <v>0</v>
      </c>
    </row>
    <row r="56" spans="2:34">
      <c r="B56" s="1687"/>
      <c r="C56" s="1687"/>
      <c r="D56" s="1687"/>
      <c r="E56" s="2152"/>
      <c r="F56" s="1326"/>
      <c r="G56" s="1327"/>
      <c r="H56" s="1326"/>
      <c r="I56" s="1327"/>
      <c r="J56" s="1687"/>
      <c r="K56" s="1687"/>
      <c r="L56" s="1687"/>
      <c r="M56" s="1328"/>
      <c r="N56" s="1328"/>
      <c r="O56" s="1687"/>
      <c r="P56" s="1687"/>
      <c r="Q56" s="1687"/>
      <c r="R56" s="1326"/>
      <c r="S56" s="1327"/>
      <c r="T56" s="1326"/>
      <c r="U56" s="1326"/>
      <c r="V56" s="1329">
        <f t="shared" si="23"/>
        <v>0</v>
      </c>
      <c r="W56" s="1329">
        <f t="shared" si="24"/>
        <v>0</v>
      </c>
      <c r="X56" s="1329">
        <f t="shared" si="25"/>
        <v>0</v>
      </c>
      <c r="Y56" s="1329">
        <f t="shared" si="26"/>
        <v>0</v>
      </c>
      <c r="Z56" s="1329">
        <f t="shared" si="27"/>
        <v>0</v>
      </c>
      <c r="AA56" s="1329">
        <f t="shared" si="28"/>
        <v>0</v>
      </c>
      <c r="AB56" s="1329"/>
      <c r="AC56" s="1329">
        <f t="shared" si="29"/>
        <v>0</v>
      </c>
      <c r="AD56" s="1329"/>
      <c r="AE56" s="1329">
        <f t="shared" si="30"/>
        <v>0</v>
      </c>
      <c r="AF56" s="1329">
        <f t="shared" si="31"/>
        <v>0</v>
      </c>
      <c r="AG56" s="1330">
        <f t="shared" si="21"/>
        <v>0</v>
      </c>
      <c r="AH56" s="1330">
        <f t="shared" si="22"/>
        <v>0</v>
      </c>
    </row>
    <row r="57" spans="2:34">
      <c r="B57" s="1687"/>
      <c r="C57" s="1687"/>
      <c r="D57" s="1687"/>
      <c r="E57" s="2152"/>
      <c r="F57" s="1326"/>
      <c r="G57" s="1327"/>
      <c r="H57" s="1326"/>
      <c r="I57" s="1327"/>
      <c r="J57" s="1687"/>
      <c r="K57" s="1687"/>
      <c r="L57" s="1687"/>
      <c r="M57" s="1328"/>
      <c r="N57" s="1328"/>
      <c r="O57" s="1687"/>
      <c r="P57" s="1687"/>
      <c r="Q57" s="1687"/>
      <c r="R57" s="1326"/>
      <c r="S57" s="1327"/>
      <c r="T57" s="1326"/>
      <c r="U57" s="1326"/>
      <c r="V57" s="1329">
        <f t="shared" si="23"/>
        <v>0</v>
      </c>
      <c r="W57" s="1329">
        <f t="shared" si="24"/>
        <v>0</v>
      </c>
      <c r="X57" s="1329">
        <f t="shared" si="25"/>
        <v>0</v>
      </c>
      <c r="Y57" s="1329">
        <f t="shared" si="26"/>
        <v>0</v>
      </c>
      <c r="Z57" s="1329">
        <f t="shared" si="27"/>
        <v>0</v>
      </c>
      <c r="AA57" s="1329">
        <f t="shared" si="28"/>
        <v>0</v>
      </c>
      <c r="AB57" s="1329"/>
      <c r="AC57" s="1329">
        <f t="shared" si="29"/>
        <v>0</v>
      </c>
      <c r="AD57" s="1329"/>
      <c r="AE57" s="1329">
        <f t="shared" si="30"/>
        <v>0</v>
      </c>
      <c r="AF57" s="1329">
        <f t="shared" si="31"/>
        <v>0</v>
      </c>
      <c r="AG57" s="1330">
        <f t="shared" si="21"/>
        <v>0</v>
      </c>
      <c r="AH57" s="1330">
        <f t="shared" si="22"/>
        <v>0</v>
      </c>
    </row>
    <row r="58" spans="2:34">
      <c r="B58" s="1687"/>
      <c r="C58" s="1687"/>
      <c r="D58" s="1687"/>
      <c r="E58" s="2152"/>
      <c r="F58" s="1326"/>
      <c r="G58" s="1327"/>
      <c r="H58" s="1326"/>
      <c r="I58" s="1327"/>
      <c r="J58" s="1687"/>
      <c r="K58" s="1687"/>
      <c r="L58" s="1687"/>
      <c r="M58" s="1328"/>
      <c r="N58" s="1328"/>
      <c r="O58" s="1687"/>
      <c r="P58" s="1687"/>
      <c r="Q58" s="1687"/>
      <c r="R58" s="1326"/>
      <c r="S58" s="1327"/>
      <c r="T58" s="1326"/>
      <c r="U58" s="1326"/>
      <c r="V58" s="1329">
        <f t="shared" si="23"/>
        <v>0</v>
      </c>
      <c r="W58" s="1329">
        <f t="shared" si="24"/>
        <v>0</v>
      </c>
      <c r="X58" s="1329">
        <f t="shared" si="25"/>
        <v>0</v>
      </c>
      <c r="Y58" s="1329">
        <f t="shared" si="26"/>
        <v>0</v>
      </c>
      <c r="Z58" s="1329">
        <f t="shared" si="27"/>
        <v>0</v>
      </c>
      <c r="AA58" s="1329">
        <f t="shared" si="28"/>
        <v>0</v>
      </c>
      <c r="AB58" s="1329"/>
      <c r="AC58" s="1329">
        <f t="shared" si="29"/>
        <v>0</v>
      </c>
      <c r="AD58" s="1329"/>
      <c r="AE58" s="1329">
        <f t="shared" si="30"/>
        <v>0</v>
      </c>
      <c r="AF58" s="1329">
        <f t="shared" si="31"/>
        <v>0</v>
      </c>
      <c r="AG58" s="1330">
        <f t="shared" si="21"/>
        <v>0</v>
      </c>
      <c r="AH58" s="1330">
        <f t="shared" si="22"/>
        <v>0</v>
      </c>
    </row>
    <row r="59" spans="2:34">
      <c r="B59" s="1687"/>
      <c r="C59" s="1687"/>
      <c r="D59" s="1687"/>
      <c r="E59" s="2152"/>
      <c r="F59" s="1326"/>
      <c r="G59" s="1327"/>
      <c r="H59" s="1326"/>
      <c r="I59" s="1327"/>
      <c r="J59" s="1687"/>
      <c r="K59" s="1687"/>
      <c r="L59" s="1687"/>
      <c r="M59" s="1328"/>
      <c r="N59" s="1328"/>
      <c r="O59" s="1687"/>
      <c r="P59" s="1687"/>
      <c r="Q59" s="1687"/>
      <c r="R59" s="1326"/>
      <c r="S59" s="1327"/>
      <c r="T59" s="1326"/>
      <c r="U59" s="1326"/>
      <c r="V59" s="1329">
        <f t="shared" si="23"/>
        <v>0</v>
      </c>
      <c r="W59" s="1329">
        <f t="shared" si="24"/>
        <v>0</v>
      </c>
      <c r="X59" s="1329">
        <f t="shared" si="25"/>
        <v>0</v>
      </c>
      <c r="Y59" s="1329">
        <f t="shared" si="26"/>
        <v>0</v>
      </c>
      <c r="Z59" s="1329">
        <f t="shared" si="27"/>
        <v>0</v>
      </c>
      <c r="AA59" s="1329">
        <f t="shared" si="28"/>
        <v>0</v>
      </c>
      <c r="AB59" s="1329"/>
      <c r="AC59" s="1329">
        <f t="shared" si="29"/>
        <v>0</v>
      </c>
      <c r="AD59" s="1329"/>
      <c r="AE59" s="1329">
        <f t="shared" si="30"/>
        <v>0</v>
      </c>
      <c r="AF59" s="1329">
        <f t="shared" si="31"/>
        <v>0</v>
      </c>
      <c r="AG59" s="1330">
        <f t="shared" si="21"/>
        <v>0</v>
      </c>
      <c r="AH59" s="1330">
        <f t="shared" si="22"/>
        <v>0</v>
      </c>
    </row>
    <row r="60" spans="2:34">
      <c r="B60" s="1687"/>
      <c r="C60" s="1687"/>
      <c r="D60" s="1687"/>
      <c r="E60" s="2152"/>
      <c r="F60" s="1326"/>
      <c r="G60" s="1327"/>
      <c r="H60" s="1326"/>
      <c r="I60" s="1327"/>
      <c r="J60" s="1687"/>
      <c r="K60" s="1687"/>
      <c r="L60" s="1687"/>
      <c r="M60" s="1328"/>
      <c r="N60" s="1328"/>
      <c r="O60" s="1687"/>
      <c r="P60" s="1687"/>
      <c r="Q60" s="1687"/>
      <c r="R60" s="1326"/>
      <c r="S60" s="1327"/>
      <c r="T60" s="1326"/>
      <c r="U60" s="1326"/>
      <c r="V60" s="1329">
        <f t="shared" si="23"/>
        <v>0</v>
      </c>
      <c r="W60" s="1329">
        <f t="shared" si="24"/>
        <v>0</v>
      </c>
      <c r="X60" s="1329">
        <f t="shared" si="25"/>
        <v>0</v>
      </c>
      <c r="Y60" s="1329">
        <f t="shared" si="26"/>
        <v>0</v>
      </c>
      <c r="Z60" s="1329">
        <f t="shared" si="27"/>
        <v>0</v>
      </c>
      <c r="AA60" s="1329">
        <f t="shared" si="28"/>
        <v>0</v>
      </c>
      <c r="AB60" s="1329"/>
      <c r="AC60" s="1329">
        <f t="shared" si="29"/>
        <v>0</v>
      </c>
      <c r="AD60" s="1329"/>
      <c r="AE60" s="1329">
        <f t="shared" si="30"/>
        <v>0</v>
      </c>
      <c r="AF60" s="1329">
        <f t="shared" si="31"/>
        <v>0</v>
      </c>
      <c r="AG60" s="1330">
        <f t="shared" si="21"/>
        <v>0</v>
      </c>
      <c r="AH60" s="1330">
        <f t="shared" si="22"/>
        <v>0</v>
      </c>
    </row>
    <row r="61" spans="2:34">
      <c r="B61" s="1687"/>
      <c r="C61" s="1687"/>
      <c r="D61" s="1687"/>
      <c r="E61" s="2152"/>
      <c r="F61" s="1326"/>
      <c r="G61" s="1327"/>
      <c r="H61" s="1326"/>
      <c r="I61" s="1327"/>
      <c r="J61" s="1687"/>
      <c r="K61" s="1687"/>
      <c r="L61" s="1687"/>
      <c r="M61" s="1328"/>
      <c r="N61" s="1328"/>
      <c r="O61" s="1687"/>
      <c r="P61" s="1687"/>
      <c r="Q61" s="1687"/>
      <c r="R61" s="1326"/>
      <c r="S61" s="1327"/>
      <c r="T61" s="1326"/>
      <c r="U61" s="1326"/>
      <c r="V61" s="1329">
        <f t="shared" si="23"/>
        <v>0</v>
      </c>
      <c r="W61" s="1329">
        <f t="shared" si="24"/>
        <v>0</v>
      </c>
      <c r="X61" s="1329">
        <f t="shared" si="25"/>
        <v>0</v>
      </c>
      <c r="Y61" s="1329">
        <f t="shared" si="26"/>
        <v>0</v>
      </c>
      <c r="Z61" s="1329">
        <f t="shared" si="27"/>
        <v>0</v>
      </c>
      <c r="AA61" s="1329">
        <f t="shared" si="28"/>
        <v>0</v>
      </c>
      <c r="AB61" s="1329"/>
      <c r="AC61" s="1329">
        <f t="shared" si="29"/>
        <v>0</v>
      </c>
      <c r="AD61" s="1329"/>
      <c r="AE61" s="1329">
        <f t="shared" si="30"/>
        <v>0</v>
      </c>
      <c r="AF61" s="1329">
        <f t="shared" si="31"/>
        <v>0</v>
      </c>
      <c r="AG61" s="1330">
        <f t="shared" si="21"/>
        <v>0</v>
      </c>
      <c r="AH61" s="1330">
        <f t="shared" si="22"/>
        <v>0</v>
      </c>
    </row>
    <row r="62" spans="2:34">
      <c r="B62" s="1687"/>
      <c r="C62" s="1687"/>
      <c r="D62" s="1687"/>
      <c r="E62" s="2152"/>
      <c r="F62" s="1326"/>
      <c r="G62" s="1327"/>
      <c r="H62" s="1326"/>
      <c r="I62" s="1327"/>
      <c r="J62" s="1687"/>
      <c r="K62" s="1687"/>
      <c r="L62" s="1687"/>
      <c r="M62" s="1328"/>
      <c r="N62" s="1328"/>
      <c r="O62" s="1687"/>
      <c r="P62" s="1687"/>
      <c r="Q62" s="1687"/>
      <c r="R62" s="1326"/>
      <c r="S62" s="1327"/>
      <c r="T62" s="1326"/>
      <c r="U62" s="1326"/>
      <c r="V62" s="1329">
        <f t="shared" si="23"/>
        <v>0</v>
      </c>
      <c r="W62" s="1329">
        <f t="shared" si="24"/>
        <v>0</v>
      </c>
      <c r="X62" s="1329">
        <f t="shared" si="25"/>
        <v>0</v>
      </c>
      <c r="Y62" s="1329">
        <f t="shared" si="26"/>
        <v>0</v>
      </c>
      <c r="Z62" s="1329">
        <f t="shared" si="27"/>
        <v>0</v>
      </c>
      <c r="AA62" s="1329">
        <f t="shared" si="28"/>
        <v>0</v>
      </c>
      <c r="AB62" s="1329"/>
      <c r="AC62" s="1329">
        <f t="shared" si="29"/>
        <v>0</v>
      </c>
      <c r="AD62" s="1329"/>
      <c r="AE62" s="1329">
        <f t="shared" si="30"/>
        <v>0</v>
      </c>
      <c r="AF62" s="1329">
        <f t="shared" si="31"/>
        <v>0</v>
      </c>
      <c r="AG62" s="1330">
        <f t="shared" si="21"/>
        <v>0</v>
      </c>
      <c r="AH62" s="1330">
        <f t="shared" si="22"/>
        <v>0</v>
      </c>
    </row>
    <row r="63" spans="2:34">
      <c r="B63" s="1687"/>
      <c r="C63" s="1687"/>
      <c r="D63" s="1687"/>
      <c r="E63" s="2152"/>
      <c r="F63" s="1326"/>
      <c r="G63" s="1327"/>
      <c r="H63" s="1326"/>
      <c r="I63" s="1327"/>
      <c r="J63" s="1687"/>
      <c r="K63" s="1687"/>
      <c r="L63" s="1687"/>
      <c r="M63" s="1328"/>
      <c r="N63" s="1328"/>
      <c r="O63" s="1687"/>
      <c r="P63" s="1687"/>
      <c r="Q63" s="1687"/>
      <c r="R63" s="1326"/>
      <c r="S63" s="1327"/>
      <c r="T63" s="1326"/>
      <c r="U63" s="1326"/>
      <c r="V63" s="1329">
        <f t="shared" si="23"/>
        <v>0</v>
      </c>
      <c r="W63" s="1329">
        <f t="shared" si="24"/>
        <v>0</v>
      </c>
      <c r="X63" s="1329">
        <f t="shared" si="25"/>
        <v>0</v>
      </c>
      <c r="Y63" s="1329">
        <f t="shared" si="26"/>
        <v>0</v>
      </c>
      <c r="Z63" s="1329">
        <f t="shared" si="27"/>
        <v>0</v>
      </c>
      <c r="AA63" s="1329">
        <f t="shared" si="28"/>
        <v>0</v>
      </c>
      <c r="AB63" s="1329"/>
      <c r="AC63" s="1329">
        <f t="shared" si="29"/>
        <v>0</v>
      </c>
      <c r="AD63" s="1329"/>
      <c r="AE63" s="1329">
        <f t="shared" si="30"/>
        <v>0</v>
      </c>
      <c r="AF63" s="1329">
        <f t="shared" si="31"/>
        <v>0</v>
      </c>
      <c r="AG63" s="1330">
        <f t="shared" si="21"/>
        <v>0</v>
      </c>
      <c r="AH63" s="1330">
        <f t="shared" si="22"/>
        <v>0</v>
      </c>
    </row>
    <row r="64" spans="2:34">
      <c r="B64" s="1687"/>
      <c r="C64" s="1687"/>
      <c r="D64" s="1687"/>
      <c r="E64" s="2152"/>
      <c r="F64" s="1326"/>
      <c r="G64" s="1327"/>
      <c r="H64" s="1326"/>
      <c r="I64" s="1327"/>
      <c r="J64" s="1687"/>
      <c r="K64" s="1687"/>
      <c r="L64" s="1687"/>
      <c r="M64" s="1328"/>
      <c r="N64" s="1328"/>
      <c r="O64" s="1687"/>
      <c r="P64" s="1687"/>
      <c r="Q64" s="1687"/>
      <c r="R64" s="1326"/>
      <c r="S64" s="1327"/>
      <c r="T64" s="1326"/>
      <c r="U64" s="1326"/>
      <c r="V64" s="1329">
        <f t="shared" si="23"/>
        <v>0</v>
      </c>
      <c r="W64" s="1329">
        <f t="shared" si="24"/>
        <v>0</v>
      </c>
      <c r="X64" s="1329">
        <f t="shared" si="25"/>
        <v>0</v>
      </c>
      <c r="Y64" s="1329">
        <f t="shared" si="26"/>
        <v>0</v>
      </c>
      <c r="Z64" s="1329">
        <f t="shared" si="27"/>
        <v>0</v>
      </c>
      <c r="AA64" s="1329">
        <f t="shared" si="28"/>
        <v>0</v>
      </c>
      <c r="AB64" s="1329"/>
      <c r="AC64" s="1329">
        <f t="shared" si="29"/>
        <v>0</v>
      </c>
      <c r="AD64" s="1329"/>
      <c r="AE64" s="1329">
        <f t="shared" si="30"/>
        <v>0</v>
      </c>
      <c r="AF64" s="1329">
        <f t="shared" si="31"/>
        <v>0</v>
      </c>
      <c r="AG64" s="1330">
        <f t="shared" si="21"/>
        <v>0</v>
      </c>
      <c r="AH64" s="1330">
        <f t="shared" si="22"/>
        <v>0</v>
      </c>
    </row>
    <row r="65" spans="2:34">
      <c r="B65" s="1687"/>
      <c r="C65" s="1687"/>
      <c r="D65" s="1687"/>
      <c r="E65" s="2152"/>
      <c r="F65" s="1326"/>
      <c r="G65" s="1327"/>
      <c r="H65" s="1326"/>
      <c r="I65" s="1327"/>
      <c r="J65" s="1687"/>
      <c r="K65" s="1687"/>
      <c r="L65" s="1687"/>
      <c r="M65" s="1328"/>
      <c r="N65" s="1328"/>
      <c r="O65" s="1687"/>
      <c r="P65" s="1687"/>
      <c r="Q65" s="1687"/>
      <c r="R65" s="1326"/>
      <c r="S65" s="1327"/>
      <c r="T65" s="1326"/>
      <c r="U65" s="1326"/>
      <c r="V65" s="1329">
        <f t="shared" si="23"/>
        <v>0</v>
      </c>
      <c r="W65" s="1329">
        <f t="shared" si="24"/>
        <v>0</v>
      </c>
      <c r="X65" s="1329">
        <f t="shared" si="25"/>
        <v>0</v>
      </c>
      <c r="Y65" s="1329">
        <f t="shared" si="26"/>
        <v>0</v>
      </c>
      <c r="Z65" s="1329">
        <f t="shared" si="27"/>
        <v>0</v>
      </c>
      <c r="AA65" s="1329">
        <f t="shared" si="28"/>
        <v>0</v>
      </c>
      <c r="AB65" s="1329"/>
      <c r="AC65" s="1329">
        <f t="shared" si="29"/>
        <v>0</v>
      </c>
      <c r="AD65" s="1329"/>
      <c r="AE65" s="1329">
        <f t="shared" si="30"/>
        <v>0</v>
      </c>
      <c r="AF65" s="1329">
        <f t="shared" si="31"/>
        <v>0</v>
      </c>
      <c r="AG65" s="1330">
        <f t="shared" si="21"/>
        <v>0</v>
      </c>
      <c r="AH65" s="1330">
        <f t="shared" si="22"/>
        <v>0</v>
      </c>
    </row>
    <row r="66" spans="2:34">
      <c r="B66" s="1687"/>
      <c r="C66" s="1687"/>
      <c r="D66" s="1687"/>
      <c r="E66" s="2152"/>
      <c r="F66" s="1326"/>
      <c r="G66" s="1327"/>
      <c r="H66" s="1326"/>
      <c r="I66" s="1327"/>
      <c r="J66" s="1687"/>
      <c r="K66" s="1687"/>
      <c r="L66" s="1687"/>
      <c r="M66" s="1328"/>
      <c r="N66" s="1328"/>
      <c r="O66" s="1687"/>
      <c r="P66" s="1687"/>
      <c r="Q66" s="1687"/>
      <c r="R66" s="1326"/>
      <c r="S66" s="1327"/>
      <c r="T66" s="1326"/>
      <c r="U66" s="1326"/>
      <c r="V66" s="1329">
        <f t="shared" si="23"/>
        <v>0</v>
      </c>
      <c r="W66" s="1329">
        <f t="shared" si="24"/>
        <v>0</v>
      </c>
      <c r="X66" s="1329">
        <f t="shared" si="25"/>
        <v>0</v>
      </c>
      <c r="Y66" s="1329">
        <f t="shared" si="26"/>
        <v>0</v>
      </c>
      <c r="Z66" s="1329">
        <f t="shared" si="27"/>
        <v>0</v>
      </c>
      <c r="AA66" s="1329">
        <f t="shared" si="28"/>
        <v>0</v>
      </c>
      <c r="AB66" s="1329"/>
      <c r="AC66" s="1329">
        <f t="shared" si="29"/>
        <v>0</v>
      </c>
      <c r="AD66" s="1329"/>
      <c r="AE66" s="1329">
        <f t="shared" si="30"/>
        <v>0</v>
      </c>
      <c r="AF66" s="1329">
        <f t="shared" si="31"/>
        <v>0</v>
      </c>
      <c r="AG66" s="1330">
        <f t="shared" si="21"/>
        <v>0</v>
      </c>
      <c r="AH66" s="1330">
        <f t="shared" si="22"/>
        <v>0</v>
      </c>
    </row>
    <row r="67" spans="2:34">
      <c r="B67" s="1687"/>
      <c r="C67" s="1687"/>
      <c r="D67" s="1687"/>
      <c r="E67" s="2152"/>
      <c r="F67" s="1326"/>
      <c r="G67" s="1327"/>
      <c r="H67" s="1326"/>
      <c r="I67" s="1327"/>
      <c r="J67" s="1687"/>
      <c r="K67" s="1687"/>
      <c r="L67" s="1687"/>
      <c r="M67" s="1328"/>
      <c r="N67" s="1328"/>
      <c r="O67" s="1687"/>
      <c r="P67" s="1687"/>
      <c r="Q67" s="1687"/>
      <c r="R67" s="1326"/>
      <c r="S67" s="1327"/>
      <c r="T67" s="1326"/>
      <c r="U67" s="1326"/>
      <c r="V67" s="1329">
        <f t="shared" si="23"/>
        <v>0</v>
      </c>
      <c r="W67" s="1329">
        <f t="shared" si="24"/>
        <v>0</v>
      </c>
      <c r="X67" s="1329">
        <f t="shared" si="25"/>
        <v>0</v>
      </c>
      <c r="Y67" s="1329">
        <f t="shared" si="26"/>
        <v>0</v>
      </c>
      <c r="Z67" s="1329">
        <f t="shared" si="27"/>
        <v>0</v>
      </c>
      <c r="AA67" s="1329">
        <f t="shared" si="28"/>
        <v>0</v>
      </c>
      <c r="AB67" s="1329"/>
      <c r="AC67" s="1329">
        <f t="shared" si="29"/>
        <v>0</v>
      </c>
      <c r="AD67" s="1329"/>
      <c r="AE67" s="1329">
        <f t="shared" si="30"/>
        <v>0</v>
      </c>
      <c r="AF67" s="1329">
        <f t="shared" si="31"/>
        <v>0</v>
      </c>
      <c r="AG67" s="1330">
        <f t="shared" si="21"/>
        <v>0</v>
      </c>
      <c r="AH67" s="1330">
        <f t="shared" si="22"/>
        <v>0</v>
      </c>
    </row>
    <row r="68" spans="2:34">
      <c r="B68" s="1687"/>
      <c r="C68" s="1687"/>
      <c r="D68" s="1687"/>
      <c r="E68" s="2152"/>
      <c r="F68" s="1326"/>
      <c r="G68" s="1327"/>
      <c r="H68" s="1326"/>
      <c r="I68" s="1327"/>
      <c r="J68" s="1687"/>
      <c r="K68" s="1687"/>
      <c r="L68" s="1687"/>
      <c r="M68" s="1328"/>
      <c r="N68" s="1328"/>
      <c r="O68" s="1687"/>
      <c r="P68" s="1687"/>
      <c r="Q68" s="1687"/>
      <c r="R68" s="1326"/>
      <c r="S68" s="1327"/>
      <c r="T68" s="1326"/>
      <c r="U68" s="1326"/>
      <c r="V68" s="1329">
        <f t="shared" si="23"/>
        <v>0</v>
      </c>
      <c r="W68" s="1329">
        <f t="shared" si="24"/>
        <v>0</v>
      </c>
      <c r="X68" s="1329">
        <f t="shared" si="25"/>
        <v>0</v>
      </c>
      <c r="Y68" s="1329">
        <f t="shared" si="26"/>
        <v>0</v>
      </c>
      <c r="Z68" s="1329">
        <f t="shared" si="27"/>
        <v>0</v>
      </c>
      <c r="AA68" s="1329">
        <f t="shared" si="28"/>
        <v>0</v>
      </c>
      <c r="AB68" s="1329"/>
      <c r="AC68" s="1329">
        <f t="shared" si="29"/>
        <v>0</v>
      </c>
      <c r="AD68" s="1329"/>
      <c r="AE68" s="1329">
        <f t="shared" si="30"/>
        <v>0</v>
      </c>
      <c r="AF68" s="1329">
        <f t="shared" si="31"/>
        <v>0</v>
      </c>
      <c r="AG68" s="1330">
        <f t="shared" si="21"/>
        <v>0</v>
      </c>
      <c r="AH68" s="1330">
        <f t="shared" si="22"/>
        <v>0</v>
      </c>
    </row>
    <row r="69" spans="2:34">
      <c r="B69" s="1687"/>
      <c r="C69" s="1687"/>
      <c r="D69" s="1687"/>
      <c r="E69" s="2152"/>
      <c r="F69" s="1326"/>
      <c r="G69" s="1327"/>
      <c r="H69" s="1326"/>
      <c r="I69" s="1327"/>
      <c r="J69" s="1687"/>
      <c r="K69" s="1687"/>
      <c r="L69" s="1687"/>
      <c r="M69" s="1328"/>
      <c r="N69" s="1328"/>
      <c r="O69" s="1687"/>
      <c r="P69" s="1687"/>
      <c r="Q69" s="1687"/>
      <c r="R69" s="1326"/>
      <c r="S69" s="1327"/>
      <c r="T69" s="1326"/>
      <c r="U69" s="1326"/>
      <c r="V69" s="1329">
        <f t="shared" si="23"/>
        <v>0</v>
      </c>
      <c r="W69" s="1329">
        <f t="shared" si="24"/>
        <v>0</v>
      </c>
      <c r="X69" s="1329">
        <f t="shared" si="25"/>
        <v>0</v>
      </c>
      <c r="Y69" s="1329">
        <f t="shared" si="26"/>
        <v>0</v>
      </c>
      <c r="Z69" s="1329">
        <f t="shared" si="27"/>
        <v>0</v>
      </c>
      <c r="AA69" s="1329">
        <f t="shared" si="28"/>
        <v>0</v>
      </c>
      <c r="AB69" s="1329"/>
      <c r="AC69" s="1329">
        <f t="shared" si="29"/>
        <v>0</v>
      </c>
      <c r="AD69" s="1329"/>
      <c r="AE69" s="1329">
        <f t="shared" si="30"/>
        <v>0</v>
      </c>
      <c r="AF69" s="1329">
        <f t="shared" si="31"/>
        <v>0</v>
      </c>
      <c r="AG69" s="1330">
        <f t="shared" si="21"/>
        <v>0</v>
      </c>
      <c r="AH69" s="1330">
        <f t="shared" si="22"/>
        <v>0</v>
      </c>
    </row>
    <row r="70" spans="2:34">
      <c r="B70" s="1687"/>
      <c r="C70" s="1687"/>
      <c r="D70" s="1687"/>
      <c r="E70" s="2152"/>
      <c r="F70" s="1326"/>
      <c r="G70" s="1327"/>
      <c r="H70" s="1326"/>
      <c r="I70" s="1327"/>
      <c r="J70" s="1687"/>
      <c r="K70" s="1687"/>
      <c r="L70" s="1687"/>
      <c r="M70" s="1328"/>
      <c r="N70" s="1328"/>
      <c r="O70" s="1687"/>
      <c r="P70" s="1687"/>
      <c r="Q70" s="1687"/>
      <c r="R70" s="1326"/>
      <c r="S70" s="1327"/>
      <c r="T70" s="1326"/>
      <c r="U70" s="1326"/>
      <c r="V70" s="1329">
        <f t="shared" si="23"/>
        <v>0</v>
      </c>
      <c r="W70" s="1329">
        <f t="shared" si="24"/>
        <v>0</v>
      </c>
      <c r="X70" s="1329">
        <f t="shared" si="25"/>
        <v>0</v>
      </c>
      <c r="Y70" s="1329">
        <f t="shared" si="26"/>
        <v>0</v>
      </c>
      <c r="Z70" s="1329">
        <f t="shared" si="27"/>
        <v>0</v>
      </c>
      <c r="AA70" s="1329">
        <f t="shared" si="28"/>
        <v>0</v>
      </c>
      <c r="AB70" s="1329"/>
      <c r="AC70" s="1329">
        <f t="shared" si="29"/>
        <v>0</v>
      </c>
      <c r="AD70" s="1329"/>
      <c r="AE70" s="1329">
        <f t="shared" si="30"/>
        <v>0</v>
      </c>
      <c r="AF70" s="1329">
        <f t="shared" si="31"/>
        <v>0</v>
      </c>
      <c r="AG70" s="1330">
        <f t="shared" si="21"/>
        <v>0</v>
      </c>
      <c r="AH70" s="1330">
        <f t="shared" si="22"/>
        <v>0</v>
      </c>
    </row>
    <row r="71" spans="2:34">
      <c r="B71" s="1687"/>
      <c r="C71" s="1687"/>
      <c r="D71" s="1687"/>
      <c r="E71" s="2152"/>
      <c r="F71" s="1326"/>
      <c r="G71" s="1327"/>
      <c r="H71" s="1326"/>
      <c r="I71" s="1327"/>
      <c r="J71" s="1687"/>
      <c r="K71" s="1687"/>
      <c r="L71" s="1687"/>
      <c r="M71" s="1328"/>
      <c r="N71" s="1328"/>
      <c r="O71" s="1687"/>
      <c r="P71" s="1687"/>
      <c r="Q71" s="1687"/>
      <c r="R71" s="1326"/>
      <c r="S71" s="1327"/>
      <c r="T71" s="1326"/>
      <c r="U71" s="1326"/>
      <c r="V71" s="1329">
        <f t="shared" si="23"/>
        <v>0</v>
      </c>
      <c r="W71" s="1329">
        <f t="shared" si="24"/>
        <v>0</v>
      </c>
      <c r="X71" s="1329">
        <f t="shared" si="25"/>
        <v>0</v>
      </c>
      <c r="Y71" s="1329">
        <f t="shared" si="26"/>
        <v>0</v>
      </c>
      <c r="Z71" s="1329">
        <f t="shared" si="27"/>
        <v>0</v>
      </c>
      <c r="AA71" s="1329">
        <f t="shared" si="28"/>
        <v>0</v>
      </c>
      <c r="AB71" s="1329"/>
      <c r="AC71" s="1329">
        <f t="shared" si="29"/>
        <v>0</v>
      </c>
      <c r="AD71" s="1329"/>
      <c r="AE71" s="1329">
        <f t="shared" si="30"/>
        <v>0</v>
      </c>
      <c r="AF71" s="1329">
        <f t="shared" si="31"/>
        <v>0</v>
      </c>
      <c r="AG71" s="1330">
        <f t="shared" si="21"/>
        <v>0</v>
      </c>
      <c r="AH71" s="1330">
        <f t="shared" si="22"/>
        <v>0</v>
      </c>
    </row>
    <row r="72" spans="2:34">
      <c r="B72" s="1687"/>
      <c r="C72" s="1687"/>
      <c r="D72" s="1687"/>
      <c r="E72" s="2152"/>
      <c r="F72" s="1326"/>
      <c r="G72" s="1327"/>
      <c r="H72" s="1326"/>
      <c r="I72" s="1327"/>
      <c r="J72" s="1687"/>
      <c r="K72" s="1687"/>
      <c r="L72" s="1687"/>
      <c r="M72" s="1328"/>
      <c r="N72" s="1328"/>
      <c r="O72" s="1687"/>
      <c r="P72" s="1687"/>
      <c r="Q72" s="1687"/>
      <c r="R72" s="1326"/>
      <c r="S72" s="1327"/>
      <c r="T72" s="1326"/>
      <c r="U72" s="1326"/>
      <c r="V72" s="1329">
        <f t="shared" si="23"/>
        <v>0</v>
      </c>
      <c r="W72" s="1329">
        <f t="shared" si="24"/>
        <v>0</v>
      </c>
      <c r="X72" s="1329">
        <f t="shared" si="25"/>
        <v>0</v>
      </c>
      <c r="Y72" s="1329">
        <f t="shared" si="26"/>
        <v>0</v>
      </c>
      <c r="Z72" s="1329">
        <f t="shared" si="27"/>
        <v>0</v>
      </c>
      <c r="AA72" s="1329">
        <f t="shared" si="28"/>
        <v>0</v>
      </c>
      <c r="AB72" s="1329"/>
      <c r="AC72" s="1329">
        <f t="shared" si="29"/>
        <v>0</v>
      </c>
      <c r="AD72" s="1329"/>
      <c r="AE72" s="1329">
        <f t="shared" si="30"/>
        <v>0</v>
      </c>
      <c r="AF72" s="1329">
        <f t="shared" si="31"/>
        <v>0</v>
      </c>
      <c r="AG72" s="1330">
        <f t="shared" si="21"/>
        <v>0</v>
      </c>
      <c r="AH72" s="1330">
        <f t="shared" si="22"/>
        <v>0</v>
      </c>
    </row>
    <row r="73" spans="2:34">
      <c r="B73" s="1687"/>
      <c r="C73" s="1687"/>
      <c r="D73" s="1687"/>
      <c r="E73" s="2152"/>
      <c r="F73" s="1326"/>
      <c r="G73" s="1327"/>
      <c r="H73" s="1326"/>
      <c r="I73" s="1327"/>
      <c r="J73" s="1687"/>
      <c r="K73" s="1687"/>
      <c r="L73" s="1687"/>
      <c r="M73" s="1328"/>
      <c r="N73" s="1328"/>
      <c r="O73" s="1687"/>
      <c r="P73" s="1687"/>
      <c r="Q73" s="1687"/>
      <c r="R73" s="1326"/>
      <c r="S73" s="1327"/>
      <c r="T73" s="1326"/>
      <c r="U73" s="1326"/>
      <c r="V73" s="1329">
        <f t="shared" si="23"/>
        <v>0</v>
      </c>
      <c r="W73" s="1329">
        <f t="shared" si="24"/>
        <v>0</v>
      </c>
      <c r="X73" s="1329">
        <f t="shared" si="25"/>
        <v>0</v>
      </c>
      <c r="Y73" s="1329">
        <f t="shared" si="26"/>
        <v>0</v>
      </c>
      <c r="Z73" s="1329">
        <f t="shared" si="27"/>
        <v>0</v>
      </c>
      <c r="AA73" s="1329">
        <f t="shared" si="28"/>
        <v>0</v>
      </c>
      <c r="AB73" s="1329"/>
      <c r="AC73" s="1329">
        <f t="shared" si="29"/>
        <v>0</v>
      </c>
      <c r="AD73" s="1329"/>
      <c r="AE73" s="1329">
        <f t="shared" si="30"/>
        <v>0</v>
      </c>
      <c r="AF73" s="1329">
        <f t="shared" si="31"/>
        <v>0</v>
      </c>
      <c r="AG73" s="1330">
        <f t="shared" si="21"/>
        <v>0</v>
      </c>
      <c r="AH73" s="1330">
        <f t="shared" si="22"/>
        <v>0</v>
      </c>
    </row>
    <row r="74" spans="2:34">
      <c r="B74" s="1687"/>
      <c r="C74" s="1687"/>
      <c r="D74" s="1687"/>
      <c r="E74" s="2152"/>
      <c r="F74" s="1326"/>
      <c r="G74" s="1327"/>
      <c r="H74" s="1326"/>
      <c r="I74" s="1327"/>
      <c r="J74" s="1687"/>
      <c r="K74" s="1687"/>
      <c r="L74" s="1687"/>
      <c r="M74" s="1328"/>
      <c r="N74" s="1328"/>
      <c r="O74" s="1687"/>
      <c r="P74" s="1687"/>
      <c r="Q74" s="1687"/>
      <c r="R74" s="1326"/>
      <c r="S74" s="1327"/>
      <c r="T74" s="1326"/>
      <c r="U74" s="1326"/>
      <c r="V74" s="1329">
        <f t="shared" si="23"/>
        <v>0</v>
      </c>
      <c r="W74" s="1329">
        <f t="shared" si="24"/>
        <v>0</v>
      </c>
      <c r="X74" s="1329">
        <f t="shared" si="25"/>
        <v>0</v>
      </c>
      <c r="Y74" s="1329">
        <f t="shared" si="26"/>
        <v>0</v>
      </c>
      <c r="Z74" s="1329">
        <f t="shared" si="27"/>
        <v>0</v>
      </c>
      <c r="AA74" s="1329">
        <f t="shared" si="28"/>
        <v>0</v>
      </c>
      <c r="AB74" s="1329"/>
      <c r="AC74" s="1329">
        <f t="shared" si="29"/>
        <v>0</v>
      </c>
      <c r="AD74" s="1329"/>
      <c r="AE74" s="1329">
        <f t="shared" si="30"/>
        <v>0</v>
      </c>
      <c r="AF74" s="1329">
        <f t="shared" si="31"/>
        <v>0</v>
      </c>
      <c r="AG74" s="1330">
        <f t="shared" si="21"/>
        <v>0</v>
      </c>
      <c r="AH74" s="1330">
        <f t="shared" si="22"/>
        <v>0</v>
      </c>
    </row>
    <row r="75" spans="2:34">
      <c r="B75" s="1687"/>
      <c r="C75" s="1687"/>
      <c r="D75" s="1687"/>
      <c r="E75" s="2152"/>
      <c r="F75" s="1326"/>
      <c r="G75" s="1327"/>
      <c r="H75" s="1326"/>
      <c r="I75" s="1327"/>
      <c r="J75" s="1687"/>
      <c r="K75" s="1687"/>
      <c r="L75" s="1687"/>
      <c r="M75" s="1328"/>
      <c r="N75" s="1328"/>
      <c r="O75" s="1687"/>
      <c r="P75" s="1687"/>
      <c r="Q75" s="1687"/>
      <c r="R75" s="1326"/>
      <c r="S75" s="1327"/>
      <c r="T75" s="1326"/>
      <c r="U75" s="1326"/>
      <c r="V75" s="1329">
        <f t="shared" si="23"/>
        <v>0</v>
      </c>
      <c r="W75" s="1329">
        <f t="shared" si="24"/>
        <v>0</v>
      </c>
      <c r="X75" s="1329">
        <f t="shared" si="25"/>
        <v>0</v>
      </c>
      <c r="Y75" s="1329">
        <f t="shared" si="26"/>
        <v>0</v>
      </c>
      <c r="Z75" s="1329">
        <f t="shared" si="27"/>
        <v>0</v>
      </c>
      <c r="AA75" s="1329">
        <f t="shared" si="28"/>
        <v>0</v>
      </c>
      <c r="AB75" s="1329"/>
      <c r="AC75" s="1329">
        <f t="shared" si="29"/>
        <v>0</v>
      </c>
      <c r="AD75" s="1329"/>
      <c r="AE75" s="1329">
        <f t="shared" si="30"/>
        <v>0</v>
      </c>
      <c r="AF75" s="1329">
        <f t="shared" si="31"/>
        <v>0</v>
      </c>
      <c r="AG75" s="1330">
        <f t="shared" si="21"/>
        <v>0</v>
      </c>
      <c r="AH75" s="1330">
        <f t="shared" si="22"/>
        <v>0</v>
      </c>
    </row>
    <row r="76" spans="2:34">
      <c r="B76" s="1687"/>
      <c r="C76" s="1687"/>
      <c r="D76" s="1687"/>
      <c r="E76" s="2152"/>
      <c r="F76" s="1326"/>
      <c r="G76" s="1327"/>
      <c r="H76" s="1326"/>
      <c r="I76" s="1327"/>
      <c r="J76" s="1687"/>
      <c r="K76" s="1687"/>
      <c r="L76" s="1687"/>
      <c r="M76" s="1328"/>
      <c r="N76" s="1328"/>
      <c r="O76" s="1687"/>
      <c r="P76" s="1687"/>
      <c r="Q76" s="1687"/>
      <c r="R76" s="1326"/>
      <c r="S76" s="1327"/>
      <c r="T76" s="1326"/>
      <c r="U76" s="1326"/>
      <c r="V76" s="1329">
        <f t="shared" si="23"/>
        <v>0</v>
      </c>
      <c r="W76" s="1329">
        <f t="shared" si="24"/>
        <v>0</v>
      </c>
      <c r="X76" s="1329">
        <f t="shared" si="25"/>
        <v>0</v>
      </c>
      <c r="Y76" s="1329">
        <f t="shared" si="26"/>
        <v>0</v>
      </c>
      <c r="Z76" s="1329">
        <f t="shared" si="27"/>
        <v>0</v>
      </c>
      <c r="AA76" s="1329">
        <f t="shared" si="28"/>
        <v>0</v>
      </c>
      <c r="AB76" s="1329"/>
      <c r="AC76" s="1329">
        <f t="shared" si="29"/>
        <v>0</v>
      </c>
      <c r="AD76" s="1329"/>
      <c r="AE76" s="1329">
        <f t="shared" si="30"/>
        <v>0</v>
      </c>
      <c r="AF76" s="1329">
        <f t="shared" si="31"/>
        <v>0</v>
      </c>
      <c r="AG76" s="1330">
        <f t="shared" si="21"/>
        <v>0</v>
      </c>
      <c r="AH76" s="1330">
        <f t="shared" si="22"/>
        <v>0</v>
      </c>
    </row>
    <row r="77" spans="2:34">
      <c r="B77" s="1687"/>
      <c r="C77" s="1687"/>
      <c r="D77" s="1687"/>
      <c r="E77" s="2152"/>
      <c r="F77" s="1326"/>
      <c r="G77" s="1327"/>
      <c r="H77" s="1326"/>
      <c r="I77" s="1327"/>
      <c r="J77" s="1687"/>
      <c r="K77" s="1687"/>
      <c r="L77" s="1687"/>
      <c r="M77" s="1328"/>
      <c r="N77" s="1328"/>
      <c r="O77" s="1687"/>
      <c r="P77" s="1687"/>
      <c r="Q77" s="1687"/>
      <c r="R77" s="1326"/>
      <c r="S77" s="1327"/>
      <c r="T77" s="1326"/>
      <c r="U77" s="1326"/>
      <c r="V77" s="1329">
        <f t="shared" si="23"/>
        <v>0</v>
      </c>
      <c r="W77" s="1329">
        <f t="shared" si="24"/>
        <v>0</v>
      </c>
      <c r="X77" s="1329">
        <f t="shared" si="25"/>
        <v>0</v>
      </c>
      <c r="Y77" s="1329">
        <f t="shared" si="26"/>
        <v>0</v>
      </c>
      <c r="Z77" s="1329">
        <f t="shared" si="27"/>
        <v>0</v>
      </c>
      <c r="AA77" s="1329">
        <f t="shared" si="28"/>
        <v>0</v>
      </c>
      <c r="AB77" s="1329"/>
      <c r="AC77" s="1329">
        <f t="shared" si="29"/>
        <v>0</v>
      </c>
      <c r="AD77" s="1329"/>
      <c r="AE77" s="1329">
        <f t="shared" si="30"/>
        <v>0</v>
      </c>
      <c r="AF77" s="1329">
        <f t="shared" si="31"/>
        <v>0</v>
      </c>
      <c r="AG77" s="1330">
        <f t="shared" si="21"/>
        <v>0</v>
      </c>
      <c r="AH77" s="1330">
        <f t="shared" si="22"/>
        <v>0</v>
      </c>
    </row>
    <row r="78" spans="2:34">
      <c r="B78" s="1687"/>
      <c r="C78" s="1687"/>
      <c r="D78" s="1687"/>
      <c r="E78" s="2152"/>
      <c r="F78" s="1326"/>
      <c r="G78" s="1327"/>
      <c r="H78" s="1326"/>
      <c r="I78" s="1327"/>
      <c r="J78" s="1687"/>
      <c r="K78" s="1687"/>
      <c r="L78" s="1687"/>
      <c r="M78" s="1328"/>
      <c r="N78" s="1328"/>
      <c r="O78" s="1687"/>
      <c r="P78" s="1687"/>
      <c r="Q78" s="1687"/>
      <c r="R78" s="1326"/>
      <c r="S78" s="1327"/>
      <c r="T78" s="1326"/>
      <c r="U78" s="1326"/>
      <c r="V78" s="1329">
        <f t="shared" si="23"/>
        <v>0</v>
      </c>
      <c r="W78" s="1329">
        <f t="shared" si="24"/>
        <v>0</v>
      </c>
      <c r="X78" s="1329">
        <f t="shared" si="25"/>
        <v>0</v>
      </c>
      <c r="Y78" s="1329">
        <f t="shared" si="26"/>
        <v>0</v>
      </c>
      <c r="Z78" s="1329">
        <f t="shared" si="27"/>
        <v>0</v>
      </c>
      <c r="AA78" s="1329">
        <f t="shared" si="28"/>
        <v>0</v>
      </c>
      <c r="AB78" s="1329"/>
      <c r="AC78" s="1329">
        <f t="shared" si="29"/>
        <v>0</v>
      </c>
      <c r="AD78" s="1329"/>
      <c r="AE78" s="1329">
        <f t="shared" si="30"/>
        <v>0</v>
      </c>
      <c r="AF78" s="1329">
        <f t="shared" si="31"/>
        <v>0</v>
      </c>
      <c r="AG78" s="1330">
        <f t="shared" si="21"/>
        <v>0</v>
      </c>
      <c r="AH78" s="1330">
        <f t="shared" si="22"/>
        <v>0</v>
      </c>
    </row>
    <row r="79" spans="2:34">
      <c r="B79" s="1687"/>
      <c r="C79" s="1687"/>
      <c r="D79" s="1687"/>
      <c r="E79" s="2152"/>
      <c r="F79" s="1326"/>
      <c r="G79" s="1327"/>
      <c r="H79" s="1326"/>
      <c r="I79" s="1327"/>
      <c r="J79" s="1687"/>
      <c r="K79" s="1687"/>
      <c r="L79" s="1687"/>
      <c r="M79" s="1328"/>
      <c r="N79" s="1328"/>
      <c r="O79" s="1687"/>
      <c r="P79" s="1687"/>
      <c r="Q79" s="1687"/>
      <c r="R79" s="1326"/>
      <c r="S79" s="1327"/>
      <c r="T79" s="1326"/>
      <c r="U79" s="1326"/>
      <c r="V79" s="1329">
        <f t="shared" si="23"/>
        <v>0</v>
      </c>
      <c r="W79" s="1329">
        <f t="shared" si="24"/>
        <v>0</v>
      </c>
      <c r="X79" s="1329">
        <f t="shared" si="25"/>
        <v>0</v>
      </c>
      <c r="Y79" s="1329">
        <f t="shared" si="26"/>
        <v>0</v>
      </c>
      <c r="Z79" s="1329">
        <f t="shared" si="27"/>
        <v>0</v>
      </c>
      <c r="AA79" s="1329">
        <f t="shared" si="28"/>
        <v>0</v>
      </c>
      <c r="AB79" s="1329"/>
      <c r="AC79" s="1329">
        <f t="shared" si="29"/>
        <v>0</v>
      </c>
      <c r="AD79" s="1329"/>
      <c r="AE79" s="1329">
        <f t="shared" si="30"/>
        <v>0</v>
      </c>
      <c r="AF79" s="1329">
        <f t="shared" si="31"/>
        <v>0</v>
      </c>
      <c r="AG79" s="1330">
        <f t="shared" si="21"/>
        <v>0</v>
      </c>
      <c r="AH79" s="1330">
        <f t="shared" si="22"/>
        <v>0</v>
      </c>
    </row>
    <row r="80" spans="2:34">
      <c r="B80" s="1687"/>
      <c r="C80" s="1687"/>
      <c r="D80" s="1687"/>
      <c r="E80" s="2152"/>
      <c r="F80" s="1326"/>
      <c r="G80" s="1327"/>
      <c r="H80" s="1326"/>
      <c r="I80" s="1327"/>
      <c r="J80" s="1687"/>
      <c r="K80" s="1687"/>
      <c r="L80" s="1687"/>
      <c r="M80" s="1328"/>
      <c r="N80" s="1328"/>
      <c r="O80" s="1687"/>
      <c r="P80" s="1687"/>
      <c r="Q80" s="1687"/>
      <c r="R80" s="1326"/>
      <c r="S80" s="1327"/>
      <c r="T80" s="1326"/>
      <c r="U80" s="1326"/>
      <c r="V80" s="1329">
        <f t="shared" si="23"/>
        <v>0</v>
      </c>
      <c r="W80" s="1329">
        <f t="shared" si="24"/>
        <v>0</v>
      </c>
      <c r="X80" s="1329">
        <f t="shared" si="25"/>
        <v>0</v>
      </c>
      <c r="Y80" s="1329">
        <f t="shared" si="26"/>
        <v>0</v>
      </c>
      <c r="Z80" s="1329">
        <f t="shared" si="27"/>
        <v>0</v>
      </c>
      <c r="AA80" s="1329">
        <f t="shared" si="28"/>
        <v>0</v>
      </c>
      <c r="AB80" s="1329"/>
      <c r="AC80" s="1329">
        <f t="shared" si="29"/>
        <v>0</v>
      </c>
      <c r="AD80" s="1329"/>
      <c r="AE80" s="1329">
        <f t="shared" si="30"/>
        <v>0</v>
      </c>
      <c r="AF80" s="1329">
        <f t="shared" si="31"/>
        <v>0</v>
      </c>
      <c r="AG80" s="1330">
        <f t="shared" si="21"/>
        <v>0</v>
      </c>
      <c r="AH80" s="1330">
        <f t="shared" si="22"/>
        <v>0</v>
      </c>
    </row>
    <row r="81" spans="2:34">
      <c r="B81" s="1687"/>
      <c r="C81" s="1687"/>
      <c r="D81" s="1687"/>
      <c r="E81" s="2152"/>
      <c r="F81" s="1326"/>
      <c r="G81" s="1327"/>
      <c r="H81" s="1326"/>
      <c r="I81" s="1327"/>
      <c r="J81" s="1687"/>
      <c r="K81" s="1687"/>
      <c r="L81" s="1687"/>
      <c r="M81" s="1328"/>
      <c r="N81" s="1328"/>
      <c r="O81" s="1687"/>
      <c r="P81" s="1687"/>
      <c r="Q81" s="1687"/>
      <c r="R81" s="1326"/>
      <c r="S81" s="1327"/>
      <c r="T81" s="1326"/>
      <c r="U81" s="1326"/>
      <c r="V81" s="1329">
        <f t="shared" si="23"/>
        <v>0</v>
      </c>
      <c r="W81" s="1329">
        <f t="shared" si="24"/>
        <v>0</v>
      </c>
      <c r="X81" s="1329">
        <f t="shared" si="25"/>
        <v>0</v>
      </c>
      <c r="Y81" s="1329">
        <f t="shared" si="26"/>
        <v>0</v>
      </c>
      <c r="Z81" s="1329">
        <f t="shared" si="27"/>
        <v>0</v>
      </c>
      <c r="AA81" s="1329">
        <f t="shared" si="28"/>
        <v>0</v>
      </c>
      <c r="AB81" s="1329"/>
      <c r="AC81" s="1329">
        <f t="shared" si="29"/>
        <v>0</v>
      </c>
      <c r="AD81" s="1329"/>
      <c r="AE81" s="1329">
        <f t="shared" si="30"/>
        <v>0</v>
      </c>
      <c r="AF81" s="1329">
        <f t="shared" si="31"/>
        <v>0</v>
      </c>
      <c r="AG81" s="1330">
        <f t="shared" si="21"/>
        <v>0</v>
      </c>
      <c r="AH81" s="1330">
        <f t="shared" si="22"/>
        <v>0</v>
      </c>
    </row>
    <row r="82" spans="2:34">
      <c r="B82" s="1687"/>
      <c r="C82" s="1687"/>
      <c r="D82" s="1687"/>
      <c r="E82" s="2152"/>
      <c r="F82" s="1326"/>
      <c r="G82" s="1327"/>
      <c r="H82" s="1326"/>
      <c r="I82" s="1327"/>
      <c r="J82" s="1687"/>
      <c r="K82" s="1687"/>
      <c r="L82" s="1687"/>
      <c r="M82" s="1328"/>
      <c r="N82" s="1328"/>
      <c r="O82" s="1687"/>
      <c r="P82" s="1687"/>
      <c r="Q82" s="1687"/>
      <c r="R82" s="1326"/>
      <c r="S82" s="1327"/>
      <c r="T82" s="1326"/>
      <c r="U82" s="1326"/>
      <c r="V82" s="1329">
        <f t="shared" si="23"/>
        <v>0</v>
      </c>
      <c r="W82" s="1329">
        <f t="shared" si="24"/>
        <v>0</v>
      </c>
      <c r="X82" s="1329">
        <f t="shared" si="25"/>
        <v>0</v>
      </c>
      <c r="Y82" s="1329">
        <f t="shared" si="26"/>
        <v>0</v>
      </c>
      <c r="Z82" s="1329">
        <f t="shared" si="27"/>
        <v>0</v>
      </c>
      <c r="AA82" s="1329">
        <f t="shared" si="28"/>
        <v>0</v>
      </c>
      <c r="AB82" s="1329"/>
      <c r="AC82" s="1329">
        <f t="shared" si="29"/>
        <v>0</v>
      </c>
      <c r="AD82" s="1329"/>
      <c r="AE82" s="1329">
        <f t="shared" si="30"/>
        <v>0</v>
      </c>
      <c r="AF82" s="1329">
        <f t="shared" si="31"/>
        <v>0</v>
      </c>
      <c r="AG82" s="1330">
        <f t="shared" si="21"/>
        <v>0</v>
      </c>
      <c r="AH82" s="1330">
        <f t="shared" si="22"/>
        <v>0</v>
      </c>
    </row>
    <row r="83" spans="2:34">
      <c r="B83" s="1687"/>
      <c r="C83" s="1687"/>
      <c r="D83" s="1687"/>
      <c r="E83" s="2152"/>
      <c r="F83" s="1326"/>
      <c r="G83" s="1327"/>
      <c r="H83" s="1326"/>
      <c r="I83" s="1327"/>
      <c r="J83" s="1687"/>
      <c r="K83" s="1687"/>
      <c r="L83" s="1687"/>
      <c r="M83" s="1328"/>
      <c r="N83" s="1328"/>
      <c r="O83" s="1687"/>
      <c r="P83" s="1687"/>
      <c r="Q83" s="1687"/>
      <c r="R83" s="1326"/>
      <c r="S83" s="1327"/>
      <c r="T83" s="1326"/>
      <c r="U83" s="1326"/>
      <c r="V83" s="1329">
        <f t="shared" si="23"/>
        <v>0</v>
      </c>
      <c r="W83" s="1329">
        <f t="shared" si="24"/>
        <v>0</v>
      </c>
      <c r="X83" s="1329">
        <f t="shared" si="25"/>
        <v>0</v>
      </c>
      <c r="Y83" s="1329">
        <f t="shared" si="26"/>
        <v>0</v>
      </c>
      <c r="Z83" s="1329">
        <f t="shared" si="27"/>
        <v>0</v>
      </c>
      <c r="AA83" s="1329">
        <f t="shared" si="28"/>
        <v>0</v>
      </c>
      <c r="AB83" s="1329"/>
      <c r="AC83" s="1329">
        <f t="shared" si="29"/>
        <v>0</v>
      </c>
      <c r="AD83" s="1329"/>
      <c r="AE83" s="1329">
        <f t="shared" si="30"/>
        <v>0</v>
      </c>
      <c r="AF83" s="1329">
        <f t="shared" si="31"/>
        <v>0</v>
      </c>
      <c r="AG83" s="1330">
        <f t="shared" si="21"/>
        <v>0</v>
      </c>
      <c r="AH83" s="1330">
        <f t="shared" si="22"/>
        <v>0</v>
      </c>
    </row>
    <row r="84" spans="2:34">
      <c r="B84" s="1687"/>
      <c r="C84" s="1687"/>
      <c r="D84" s="1687"/>
      <c r="E84" s="2152"/>
      <c r="F84" s="1326"/>
      <c r="G84" s="1327"/>
      <c r="H84" s="1326"/>
      <c r="I84" s="1327"/>
      <c r="J84" s="1687"/>
      <c r="K84" s="1687"/>
      <c r="L84" s="1687"/>
      <c r="M84" s="1328"/>
      <c r="N84" s="1328"/>
      <c r="O84" s="1687"/>
      <c r="P84" s="1687"/>
      <c r="Q84" s="1687"/>
      <c r="R84" s="1326"/>
      <c r="S84" s="1327"/>
      <c r="T84" s="1326"/>
      <c r="U84" s="1326"/>
      <c r="V84" s="1329">
        <f t="shared" si="23"/>
        <v>0</v>
      </c>
      <c r="W84" s="1329">
        <f t="shared" si="24"/>
        <v>0</v>
      </c>
      <c r="X84" s="1329">
        <f t="shared" si="25"/>
        <v>0</v>
      </c>
      <c r="Y84" s="1329">
        <f t="shared" si="26"/>
        <v>0</v>
      </c>
      <c r="Z84" s="1329">
        <f t="shared" si="27"/>
        <v>0</v>
      </c>
      <c r="AA84" s="1329">
        <f t="shared" si="28"/>
        <v>0</v>
      </c>
      <c r="AB84" s="1329"/>
      <c r="AC84" s="1329">
        <f t="shared" si="29"/>
        <v>0</v>
      </c>
      <c r="AD84" s="1329"/>
      <c r="AE84" s="1329">
        <f t="shared" si="30"/>
        <v>0</v>
      </c>
      <c r="AF84" s="1329">
        <f t="shared" si="31"/>
        <v>0</v>
      </c>
      <c r="AG84" s="1330">
        <f t="shared" si="21"/>
        <v>0</v>
      </c>
      <c r="AH84" s="1330">
        <f t="shared" si="22"/>
        <v>0</v>
      </c>
    </row>
    <row r="85" spans="2:34">
      <c r="B85" s="1687"/>
      <c r="C85" s="1687"/>
      <c r="D85" s="1687"/>
      <c r="E85" s="2152"/>
      <c r="F85" s="1326"/>
      <c r="G85" s="1327"/>
      <c r="H85" s="1326"/>
      <c r="I85" s="1327"/>
      <c r="J85" s="1687"/>
      <c r="K85" s="1687"/>
      <c r="L85" s="1687"/>
      <c r="M85" s="1328"/>
      <c r="N85" s="1328"/>
      <c r="O85" s="1687"/>
      <c r="P85" s="1687"/>
      <c r="Q85" s="1687"/>
      <c r="R85" s="1326"/>
      <c r="S85" s="1327"/>
      <c r="T85" s="1326"/>
      <c r="U85" s="1326"/>
      <c r="V85" s="1329">
        <f t="shared" si="23"/>
        <v>0</v>
      </c>
      <c r="W85" s="1329">
        <f t="shared" si="24"/>
        <v>0</v>
      </c>
      <c r="X85" s="1329">
        <f t="shared" si="25"/>
        <v>0</v>
      </c>
      <c r="Y85" s="1329">
        <f t="shared" si="26"/>
        <v>0</v>
      </c>
      <c r="Z85" s="1329">
        <f t="shared" si="27"/>
        <v>0</v>
      </c>
      <c r="AA85" s="1329">
        <f t="shared" si="28"/>
        <v>0</v>
      </c>
      <c r="AB85" s="1329"/>
      <c r="AC85" s="1329">
        <f t="shared" si="29"/>
        <v>0</v>
      </c>
      <c r="AD85" s="1329"/>
      <c r="AE85" s="1329">
        <f t="shared" si="30"/>
        <v>0</v>
      </c>
      <c r="AF85" s="1329">
        <f t="shared" si="31"/>
        <v>0</v>
      </c>
      <c r="AG85" s="1330">
        <f t="shared" si="21"/>
        <v>0</v>
      </c>
      <c r="AH85" s="1330">
        <f t="shared" si="22"/>
        <v>0</v>
      </c>
    </row>
    <row r="86" spans="2:34">
      <c r="B86" s="1687"/>
      <c r="C86" s="1687"/>
      <c r="D86" s="1687"/>
      <c r="E86" s="2152"/>
      <c r="F86" s="1326"/>
      <c r="G86" s="1327"/>
      <c r="H86" s="1326"/>
      <c r="I86" s="1327"/>
      <c r="J86" s="1687"/>
      <c r="K86" s="1687"/>
      <c r="L86" s="1687"/>
      <c r="M86" s="1328"/>
      <c r="N86" s="1328"/>
      <c r="O86" s="1687"/>
      <c r="P86" s="1687"/>
      <c r="Q86" s="1687"/>
      <c r="R86" s="1326"/>
      <c r="S86" s="1327"/>
      <c r="T86" s="1326"/>
      <c r="U86" s="1326"/>
      <c r="V86" s="1329">
        <f t="shared" si="23"/>
        <v>0</v>
      </c>
      <c r="W86" s="1329">
        <f t="shared" si="24"/>
        <v>0</v>
      </c>
      <c r="X86" s="1329">
        <f t="shared" si="25"/>
        <v>0</v>
      </c>
      <c r="Y86" s="1329">
        <f t="shared" si="26"/>
        <v>0</v>
      </c>
      <c r="Z86" s="1329">
        <f t="shared" si="27"/>
        <v>0</v>
      </c>
      <c r="AA86" s="1329">
        <f t="shared" si="28"/>
        <v>0</v>
      </c>
      <c r="AB86" s="1329"/>
      <c r="AC86" s="1329">
        <f t="shared" si="29"/>
        <v>0</v>
      </c>
      <c r="AD86" s="1329"/>
      <c r="AE86" s="1329">
        <f t="shared" si="30"/>
        <v>0</v>
      </c>
      <c r="AF86" s="1329">
        <f t="shared" si="31"/>
        <v>0</v>
      </c>
      <c r="AG86" s="1330">
        <f t="shared" si="21"/>
        <v>0</v>
      </c>
      <c r="AH86" s="1330">
        <f t="shared" si="22"/>
        <v>0</v>
      </c>
    </row>
    <row r="87" spans="2:34">
      <c r="B87" s="1687"/>
      <c r="C87" s="1687"/>
      <c r="D87" s="1687"/>
      <c r="E87" s="2152"/>
      <c r="F87" s="1326"/>
      <c r="G87" s="1327"/>
      <c r="H87" s="1326"/>
      <c r="I87" s="1327"/>
      <c r="J87" s="1687"/>
      <c r="K87" s="1687"/>
      <c r="L87" s="1687"/>
      <c r="M87" s="1328"/>
      <c r="N87" s="1328"/>
      <c r="O87" s="1687"/>
      <c r="P87" s="1687"/>
      <c r="Q87" s="1687"/>
      <c r="R87" s="1326"/>
      <c r="S87" s="1327"/>
      <c r="T87" s="1326"/>
      <c r="U87" s="1326"/>
      <c r="V87" s="1329">
        <f t="shared" si="23"/>
        <v>0</v>
      </c>
      <c r="W87" s="1329">
        <f t="shared" si="24"/>
        <v>0</v>
      </c>
      <c r="X87" s="1329">
        <f t="shared" si="25"/>
        <v>0</v>
      </c>
      <c r="Y87" s="1329">
        <f t="shared" si="26"/>
        <v>0</v>
      </c>
      <c r="Z87" s="1329">
        <f t="shared" si="27"/>
        <v>0</v>
      </c>
      <c r="AA87" s="1329">
        <f t="shared" si="28"/>
        <v>0</v>
      </c>
      <c r="AB87" s="1329"/>
      <c r="AC87" s="1329">
        <f t="shared" si="29"/>
        <v>0</v>
      </c>
      <c r="AD87" s="1329"/>
      <c r="AE87" s="1329">
        <f t="shared" si="30"/>
        <v>0</v>
      </c>
      <c r="AF87" s="1329">
        <f t="shared" si="31"/>
        <v>0</v>
      </c>
      <c r="AG87" s="1330">
        <f t="shared" si="21"/>
        <v>0</v>
      </c>
      <c r="AH87" s="1330">
        <f t="shared" si="22"/>
        <v>0</v>
      </c>
    </row>
    <row r="88" spans="2:34">
      <c r="B88" s="1687"/>
      <c r="C88" s="1687"/>
      <c r="D88" s="1687"/>
      <c r="E88" s="2152"/>
      <c r="F88" s="1326"/>
      <c r="G88" s="1327"/>
      <c r="H88" s="1326"/>
      <c r="I88" s="1327"/>
      <c r="J88" s="1687"/>
      <c r="K88" s="1687"/>
      <c r="L88" s="1687"/>
      <c r="M88" s="1328"/>
      <c r="N88" s="1328"/>
      <c r="O88" s="1687"/>
      <c r="P88" s="1687"/>
      <c r="Q88" s="1687"/>
      <c r="R88" s="1326"/>
      <c r="S88" s="1327"/>
      <c r="T88" s="1326"/>
      <c r="U88" s="1326"/>
      <c r="V88" s="1329">
        <f t="shared" si="23"/>
        <v>0</v>
      </c>
      <c r="W88" s="1329">
        <f t="shared" si="24"/>
        <v>0</v>
      </c>
      <c r="X88" s="1329">
        <f t="shared" si="25"/>
        <v>0</v>
      </c>
      <c r="Y88" s="1329">
        <f t="shared" si="26"/>
        <v>0</v>
      </c>
      <c r="Z88" s="1329">
        <f t="shared" si="27"/>
        <v>0</v>
      </c>
      <c r="AA88" s="1329">
        <f t="shared" si="28"/>
        <v>0</v>
      </c>
      <c r="AB88" s="1329"/>
      <c r="AC88" s="1329">
        <f t="shared" si="29"/>
        <v>0</v>
      </c>
      <c r="AD88" s="1329"/>
      <c r="AE88" s="1329">
        <f t="shared" si="30"/>
        <v>0</v>
      </c>
      <c r="AF88" s="1329">
        <f t="shared" si="31"/>
        <v>0</v>
      </c>
      <c r="AG88" s="1330">
        <f t="shared" si="21"/>
        <v>0</v>
      </c>
      <c r="AH88" s="1330">
        <f t="shared" si="22"/>
        <v>0</v>
      </c>
    </row>
    <row r="89" spans="2:34">
      <c r="B89" s="1687"/>
      <c r="C89" s="1687"/>
      <c r="D89" s="1687"/>
      <c r="E89" s="2152"/>
      <c r="F89" s="1326"/>
      <c r="G89" s="1327"/>
      <c r="H89" s="1326"/>
      <c r="I89" s="1327"/>
      <c r="J89" s="1687"/>
      <c r="K89" s="1687"/>
      <c r="L89" s="1687"/>
      <c r="M89" s="1328"/>
      <c r="N89" s="1328"/>
      <c r="O89" s="1687"/>
      <c r="P89" s="1687"/>
      <c r="Q89" s="1687"/>
      <c r="R89" s="1326"/>
      <c r="S89" s="1327"/>
      <c r="T89" s="1326"/>
      <c r="U89" s="1326"/>
      <c r="V89" s="1329">
        <f t="shared" si="23"/>
        <v>0</v>
      </c>
      <c r="W89" s="1329">
        <f t="shared" si="24"/>
        <v>0</v>
      </c>
      <c r="X89" s="1329">
        <f t="shared" si="25"/>
        <v>0</v>
      </c>
      <c r="Y89" s="1329">
        <f t="shared" si="26"/>
        <v>0</v>
      </c>
      <c r="Z89" s="1329">
        <f t="shared" si="27"/>
        <v>0</v>
      </c>
      <c r="AA89" s="1329">
        <f t="shared" si="28"/>
        <v>0</v>
      </c>
      <c r="AB89" s="1329"/>
      <c r="AC89" s="1329">
        <f t="shared" si="29"/>
        <v>0</v>
      </c>
      <c r="AD89" s="1329"/>
      <c r="AE89" s="1329">
        <f t="shared" si="30"/>
        <v>0</v>
      </c>
      <c r="AF89" s="1329">
        <f t="shared" si="31"/>
        <v>0</v>
      </c>
      <c r="AG89" s="1330">
        <f t="shared" si="21"/>
        <v>0</v>
      </c>
      <c r="AH89" s="1330">
        <f t="shared" si="22"/>
        <v>0</v>
      </c>
    </row>
    <row r="90" spans="2:34">
      <c r="B90" s="1687"/>
      <c r="C90" s="1687"/>
      <c r="D90" s="1687"/>
      <c r="E90" s="2152"/>
      <c r="F90" s="1326"/>
      <c r="G90" s="1327"/>
      <c r="H90" s="1326"/>
      <c r="I90" s="1327"/>
      <c r="J90" s="1687"/>
      <c r="K90" s="1687"/>
      <c r="L90" s="1687"/>
      <c r="M90" s="1328"/>
      <c r="N90" s="1328"/>
      <c r="O90" s="1687"/>
      <c r="P90" s="1687"/>
      <c r="Q90" s="1687"/>
      <c r="R90" s="1326"/>
      <c r="S90" s="1327"/>
      <c r="T90" s="1326"/>
      <c r="U90" s="1326"/>
      <c r="V90" s="1329">
        <f t="shared" si="23"/>
        <v>0</v>
      </c>
      <c r="W90" s="1329">
        <f t="shared" si="24"/>
        <v>0</v>
      </c>
      <c r="X90" s="1329">
        <f t="shared" si="25"/>
        <v>0</v>
      </c>
      <c r="Y90" s="1329">
        <f t="shared" si="26"/>
        <v>0</v>
      </c>
      <c r="Z90" s="1329">
        <f t="shared" si="27"/>
        <v>0</v>
      </c>
      <c r="AA90" s="1329">
        <f t="shared" si="28"/>
        <v>0</v>
      </c>
      <c r="AB90" s="1329"/>
      <c r="AC90" s="1329">
        <f t="shared" si="29"/>
        <v>0</v>
      </c>
      <c r="AD90" s="1329"/>
      <c r="AE90" s="1329">
        <f t="shared" si="30"/>
        <v>0</v>
      </c>
      <c r="AF90" s="1329">
        <f t="shared" si="31"/>
        <v>0</v>
      </c>
      <c r="AG90" s="1330">
        <f t="shared" si="21"/>
        <v>0</v>
      </c>
      <c r="AH90" s="1330">
        <f t="shared" si="22"/>
        <v>0</v>
      </c>
    </row>
    <row r="91" spans="2:34">
      <c r="B91" s="1687"/>
      <c r="C91" s="1687"/>
      <c r="D91" s="1687"/>
      <c r="E91" s="2152"/>
      <c r="F91" s="1326"/>
      <c r="G91" s="1327"/>
      <c r="H91" s="1326"/>
      <c r="I91" s="1327"/>
      <c r="J91" s="1687"/>
      <c r="K91" s="1687"/>
      <c r="L91" s="1687"/>
      <c r="M91" s="1328"/>
      <c r="N91" s="1328"/>
      <c r="O91" s="1687"/>
      <c r="P91" s="1687"/>
      <c r="Q91" s="1687"/>
      <c r="R91" s="1326"/>
      <c r="S91" s="1327"/>
      <c r="T91" s="1326"/>
      <c r="U91" s="1326"/>
      <c r="V91" s="1329">
        <f t="shared" ref="V91:V117" si="32">IF(F91&gt;=0,0,"c50&gt;=0")</f>
        <v>0</v>
      </c>
      <c r="W91" s="1329">
        <f t="shared" ref="W91:W117" si="33">IF(H91&gt;=0,0,"c70&gt;=0")</f>
        <v>0</v>
      </c>
      <c r="X91" s="1329">
        <f t="shared" ref="X91:X117" si="34">IF(M91&lt;=1,0,"c110&lt;=1")</f>
        <v>0</v>
      </c>
      <c r="Y91" s="1329">
        <f t="shared" ref="Y91:Y117" si="35">IF(M91&gt;=0,0,"c110&gt;=0")</f>
        <v>0</v>
      </c>
      <c r="Z91" s="1329">
        <f t="shared" ref="Z91:Z117" si="36">IF(N91&lt;=1,0,"c120&lt;=1")</f>
        <v>0</v>
      </c>
      <c r="AA91" s="1329">
        <f t="shared" ref="AA91:AA117" si="37">IF(N91&gt;=0,0,"c120&gt;=0")</f>
        <v>0</v>
      </c>
      <c r="AB91" s="1329"/>
      <c r="AC91" s="1329">
        <f t="shared" ref="AC91:AC117" si="38">IF(R91&gt;=0,0,"c160&gt;=0")</f>
        <v>0</v>
      </c>
      <c r="AD91" s="1329"/>
      <c r="AE91" s="1329">
        <f t="shared" ref="AE91:AE117" si="39">IF(T91&gt;=0,0,"c180&gt;=0")</f>
        <v>0</v>
      </c>
      <c r="AF91" s="1329">
        <f t="shared" ref="AF91:AF117" si="40">IF(U91&gt;=0,0,"c190&gt;=0")</f>
        <v>0</v>
      </c>
      <c r="AG91" s="1330">
        <f t="shared" si="21"/>
        <v>0</v>
      </c>
      <c r="AH91" s="1330">
        <f t="shared" si="22"/>
        <v>0</v>
      </c>
    </row>
    <row r="92" spans="2:34">
      <c r="B92" s="1687"/>
      <c r="C92" s="1687"/>
      <c r="D92" s="1687"/>
      <c r="E92" s="2152"/>
      <c r="F92" s="1326"/>
      <c r="G92" s="1327"/>
      <c r="H92" s="1326"/>
      <c r="I92" s="1327"/>
      <c r="J92" s="1687"/>
      <c r="K92" s="1687"/>
      <c r="L92" s="1687"/>
      <c r="M92" s="1328"/>
      <c r="N92" s="1328"/>
      <c r="O92" s="1687"/>
      <c r="P92" s="1687"/>
      <c r="Q92" s="1687"/>
      <c r="R92" s="1326"/>
      <c r="S92" s="1327"/>
      <c r="T92" s="1326"/>
      <c r="U92" s="1326"/>
      <c r="V92" s="1329">
        <f t="shared" si="32"/>
        <v>0</v>
      </c>
      <c r="W92" s="1329">
        <f t="shared" si="33"/>
        <v>0</v>
      </c>
      <c r="X92" s="1329">
        <f t="shared" si="34"/>
        <v>0</v>
      </c>
      <c r="Y92" s="1329">
        <f t="shared" si="35"/>
        <v>0</v>
      </c>
      <c r="Z92" s="1329">
        <f t="shared" si="36"/>
        <v>0</v>
      </c>
      <c r="AA92" s="1329">
        <f t="shared" si="37"/>
        <v>0</v>
      </c>
      <c r="AB92" s="1329"/>
      <c r="AC92" s="1329">
        <f t="shared" si="38"/>
        <v>0</v>
      </c>
      <c r="AD92" s="1329"/>
      <c r="AE92" s="1329">
        <f t="shared" si="39"/>
        <v>0</v>
      </c>
      <c r="AF92" s="1329">
        <f t="shared" si="40"/>
        <v>0</v>
      </c>
      <c r="AG92" s="1330">
        <f t="shared" si="21"/>
        <v>0</v>
      </c>
      <c r="AH92" s="1330">
        <f t="shared" si="22"/>
        <v>0</v>
      </c>
    </row>
    <row r="93" spans="2:34">
      <c r="B93" s="1687"/>
      <c r="C93" s="1687"/>
      <c r="D93" s="1687"/>
      <c r="E93" s="2152"/>
      <c r="F93" s="1326"/>
      <c r="G93" s="1327"/>
      <c r="H93" s="1326"/>
      <c r="I93" s="1327"/>
      <c r="J93" s="1687"/>
      <c r="K93" s="1687"/>
      <c r="L93" s="1687"/>
      <c r="M93" s="1328"/>
      <c r="N93" s="1328"/>
      <c r="O93" s="1687"/>
      <c r="P93" s="1687"/>
      <c r="Q93" s="1687"/>
      <c r="R93" s="1326"/>
      <c r="S93" s="1327"/>
      <c r="T93" s="1326"/>
      <c r="U93" s="1326"/>
      <c r="V93" s="1329">
        <f t="shared" si="32"/>
        <v>0</v>
      </c>
      <c r="W93" s="1329">
        <f t="shared" si="33"/>
        <v>0</v>
      </c>
      <c r="X93" s="1329">
        <f t="shared" si="34"/>
        <v>0</v>
      </c>
      <c r="Y93" s="1329">
        <f t="shared" si="35"/>
        <v>0</v>
      </c>
      <c r="Z93" s="1329">
        <f t="shared" si="36"/>
        <v>0</v>
      </c>
      <c r="AA93" s="1329">
        <f t="shared" si="37"/>
        <v>0</v>
      </c>
      <c r="AB93" s="1329"/>
      <c r="AC93" s="1329">
        <f t="shared" si="38"/>
        <v>0</v>
      </c>
      <c r="AD93" s="1329"/>
      <c r="AE93" s="1329">
        <f t="shared" si="39"/>
        <v>0</v>
      </c>
      <c r="AF93" s="1329">
        <f t="shared" si="40"/>
        <v>0</v>
      </c>
      <c r="AG93" s="1330">
        <f t="shared" si="21"/>
        <v>0</v>
      </c>
      <c r="AH93" s="1330">
        <f t="shared" si="22"/>
        <v>0</v>
      </c>
    </row>
    <row r="94" spans="2:34">
      <c r="B94" s="1687"/>
      <c r="C94" s="1687"/>
      <c r="D94" s="1687"/>
      <c r="E94" s="2152"/>
      <c r="F94" s="1326"/>
      <c r="G94" s="1327"/>
      <c r="H94" s="1326"/>
      <c r="I94" s="1327"/>
      <c r="J94" s="1687"/>
      <c r="K94" s="1687"/>
      <c r="L94" s="1687"/>
      <c r="M94" s="1328"/>
      <c r="N94" s="1328"/>
      <c r="O94" s="1687"/>
      <c r="P94" s="1687"/>
      <c r="Q94" s="1687"/>
      <c r="R94" s="1326"/>
      <c r="S94" s="1327"/>
      <c r="T94" s="1326"/>
      <c r="U94" s="1326"/>
      <c r="V94" s="1329">
        <f t="shared" si="32"/>
        <v>0</v>
      </c>
      <c r="W94" s="1329">
        <f t="shared" si="33"/>
        <v>0</v>
      </c>
      <c r="X94" s="1329">
        <f t="shared" si="34"/>
        <v>0</v>
      </c>
      <c r="Y94" s="1329">
        <f t="shared" si="35"/>
        <v>0</v>
      </c>
      <c r="Z94" s="1329">
        <f t="shared" si="36"/>
        <v>0</v>
      </c>
      <c r="AA94" s="1329">
        <f t="shared" si="37"/>
        <v>0</v>
      </c>
      <c r="AB94" s="1329"/>
      <c r="AC94" s="1329">
        <f t="shared" si="38"/>
        <v>0</v>
      </c>
      <c r="AD94" s="1329"/>
      <c r="AE94" s="1329">
        <f t="shared" si="39"/>
        <v>0</v>
      </c>
      <c r="AF94" s="1329">
        <f t="shared" si="40"/>
        <v>0</v>
      </c>
      <c r="AG94" s="1330">
        <f t="shared" si="21"/>
        <v>0</v>
      </c>
      <c r="AH94" s="1330">
        <f t="shared" si="22"/>
        <v>0</v>
      </c>
    </row>
    <row r="95" spans="2:34">
      <c r="B95" s="1687"/>
      <c r="C95" s="1687"/>
      <c r="D95" s="1687"/>
      <c r="E95" s="2152"/>
      <c r="F95" s="1326"/>
      <c r="G95" s="1327"/>
      <c r="H95" s="1326"/>
      <c r="I95" s="1327"/>
      <c r="J95" s="1687"/>
      <c r="K95" s="1687"/>
      <c r="L95" s="1687"/>
      <c r="M95" s="1328"/>
      <c r="N95" s="1328"/>
      <c r="O95" s="1687"/>
      <c r="P95" s="1687"/>
      <c r="Q95" s="1687"/>
      <c r="R95" s="1326"/>
      <c r="S95" s="1327"/>
      <c r="T95" s="1326"/>
      <c r="U95" s="1326"/>
      <c r="V95" s="1329">
        <f t="shared" si="32"/>
        <v>0</v>
      </c>
      <c r="W95" s="1329">
        <f t="shared" si="33"/>
        <v>0</v>
      </c>
      <c r="X95" s="1329">
        <f t="shared" si="34"/>
        <v>0</v>
      </c>
      <c r="Y95" s="1329">
        <f t="shared" si="35"/>
        <v>0</v>
      </c>
      <c r="Z95" s="1329">
        <f t="shared" si="36"/>
        <v>0</v>
      </c>
      <c r="AA95" s="1329">
        <f t="shared" si="37"/>
        <v>0</v>
      </c>
      <c r="AB95" s="1329"/>
      <c r="AC95" s="1329">
        <f t="shared" si="38"/>
        <v>0</v>
      </c>
      <c r="AD95" s="1329"/>
      <c r="AE95" s="1329">
        <f t="shared" si="39"/>
        <v>0</v>
      </c>
      <c r="AF95" s="1329">
        <f t="shared" si="40"/>
        <v>0</v>
      </c>
      <c r="AG95" s="1330">
        <f t="shared" si="21"/>
        <v>0</v>
      </c>
      <c r="AH95" s="1330">
        <f t="shared" si="22"/>
        <v>0</v>
      </c>
    </row>
    <row r="96" spans="2:34">
      <c r="B96" s="1687"/>
      <c r="C96" s="1687"/>
      <c r="D96" s="1687"/>
      <c r="E96" s="2152"/>
      <c r="F96" s="1326"/>
      <c r="G96" s="1327"/>
      <c r="H96" s="1326"/>
      <c r="I96" s="1327"/>
      <c r="J96" s="1687"/>
      <c r="K96" s="1687"/>
      <c r="L96" s="1687"/>
      <c r="M96" s="1328"/>
      <c r="N96" s="1328"/>
      <c r="O96" s="1687"/>
      <c r="P96" s="1687"/>
      <c r="Q96" s="1687"/>
      <c r="R96" s="1326"/>
      <c r="S96" s="1327"/>
      <c r="T96" s="1326"/>
      <c r="U96" s="1326"/>
      <c r="V96" s="1329">
        <f t="shared" si="32"/>
        <v>0</v>
      </c>
      <c r="W96" s="1329">
        <f t="shared" si="33"/>
        <v>0</v>
      </c>
      <c r="X96" s="1329">
        <f t="shared" si="34"/>
        <v>0</v>
      </c>
      <c r="Y96" s="1329">
        <f t="shared" si="35"/>
        <v>0</v>
      </c>
      <c r="Z96" s="1329">
        <f t="shared" si="36"/>
        <v>0</v>
      </c>
      <c r="AA96" s="1329">
        <f t="shared" si="37"/>
        <v>0</v>
      </c>
      <c r="AB96" s="1329"/>
      <c r="AC96" s="1329">
        <f t="shared" si="38"/>
        <v>0</v>
      </c>
      <c r="AD96" s="1329"/>
      <c r="AE96" s="1329">
        <f t="shared" si="39"/>
        <v>0</v>
      </c>
      <c r="AF96" s="1329">
        <f t="shared" si="40"/>
        <v>0</v>
      </c>
      <c r="AG96" s="1330">
        <f t="shared" si="21"/>
        <v>0</v>
      </c>
      <c r="AH96" s="1330">
        <f t="shared" si="22"/>
        <v>0</v>
      </c>
    </row>
    <row r="97" spans="2:34">
      <c r="B97" s="1687"/>
      <c r="C97" s="1687"/>
      <c r="D97" s="1687"/>
      <c r="E97" s="2152"/>
      <c r="F97" s="1326"/>
      <c r="G97" s="1327"/>
      <c r="H97" s="1326"/>
      <c r="I97" s="1327"/>
      <c r="J97" s="1687"/>
      <c r="K97" s="1687"/>
      <c r="L97" s="1687"/>
      <c r="M97" s="1328"/>
      <c r="N97" s="1328"/>
      <c r="O97" s="1687"/>
      <c r="P97" s="1687"/>
      <c r="Q97" s="1687"/>
      <c r="R97" s="1326"/>
      <c r="S97" s="1327"/>
      <c r="T97" s="1326"/>
      <c r="U97" s="1326"/>
      <c r="V97" s="1329">
        <f t="shared" si="32"/>
        <v>0</v>
      </c>
      <c r="W97" s="1329">
        <f t="shared" si="33"/>
        <v>0</v>
      </c>
      <c r="X97" s="1329">
        <f t="shared" si="34"/>
        <v>0</v>
      </c>
      <c r="Y97" s="1329">
        <f t="shared" si="35"/>
        <v>0</v>
      </c>
      <c r="Z97" s="1329">
        <f t="shared" si="36"/>
        <v>0</v>
      </c>
      <c r="AA97" s="1329">
        <f t="shared" si="37"/>
        <v>0</v>
      </c>
      <c r="AB97" s="1329"/>
      <c r="AC97" s="1329">
        <f t="shared" si="38"/>
        <v>0</v>
      </c>
      <c r="AD97" s="1329"/>
      <c r="AE97" s="1329">
        <f t="shared" si="39"/>
        <v>0</v>
      </c>
      <c r="AF97" s="1329">
        <f t="shared" si="40"/>
        <v>0</v>
      </c>
      <c r="AG97" s="1330">
        <f t="shared" si="21"/>
        <v>0</v>
      </c>
      <c r="AH97" s="1330">
        <f t="shared" si="22"/>
        <v>0</v>
      </c>
    </row>
    <row r="98" spans="2:34">
      <c r="B98" s="1687"/>
      <c r="C98" s="1687"/>
      <c r="D98" s="1687"/>
      <c r="E98" s="2152"/>
      <c r="F98" s="1326"/>
      <c r="G98" s="1327"/>
      <c r="H98" s="1326"/>
      <c r="I98" s="1327"/>
      <c r="J98" s="1687"/>
      <c r="K98" s="1687"/>
      <c r="L98" s="1687"/>
      <c r="M98" s="1328"/>
      <c r="N98" s="1328"/>
      <c r="O98" s="1687"/>
      <c r="P98" s="1687"/>
      <c r="Q98" s="1687"/>
      <c r="R98" s="1326"/>
      <c r="S98" s="1327"/>
      <c r="T98" s="1326"/>
      <c r="U98" s="1326"/>
      <c r="V98" s="1329">
        <f t="shared" si="32"/>
        <v>0</v>
      </c>
      <c r="W98" s="1329">
        <f t="shared" si="33"/>
        <v>0</v>
      </c>
      <c r="X98" s="1329">
        <f t="shared" si="34"/>
        <v>0</v>
      </c>
      <c r="Y98" s="1329">
        <f t="shared" si="35"/>
        <v>0</v>
      </c>
      <c r="Z98" s="1329">
        <f t="shared" si="36"/>
        <v>0</v>
      </c>
      <c r="AA98" s="1329">
        <f t="shared" si="37"/>
        <v>0</v>
      </c>
      <c r="AB98" s="1329"/>
      <c r="AC98" s="1329">
        <f t="shared" si="38"/>
        <v>0</v>
      </c>
      <c r="AD98" s="1329"/>
      <c r="AE98" s="1329">
        <f t="shared" si="39"/>
        <v>0</v>
      </c>
      <c r="AF98" s="1329">
        <f t="shared" si="40"/>
        <v>0</v>
      </c>
      <c r="AG98" s="1330">
        <f t="shared" si="21"/>
        <v>0</v>
      </c>
      <c r="AH98" s="1330">
        <f t="shared" si="22"/>
        <v>0</v>
      </c>
    </row>
    <row r="99" spans="2:34">
      <c r="B99" s="1687"/>
      <c r="C99" s="1687"/>
      <c r="D99" s="1687"/>
      <c r="E99" s="2152"/>
      <c r="F99" s="1326"/>
      <c r="G99" s="1327"/>
      <c r="H99" s="1326"/>
      <c r="I99" s="1327"/>
      <c r="J99" s="1687"/>
      <c r="K99" s="1687"/>
      <c r="L99" s="1687"/>
      <c r="M99" s="1328"/>
      <c r="N99" s="1328"/>
      <c r="O99" s="1687"/>
      <c r="P99" s="1687"/>
      <c r="Q99" s="1687"/>
      <c r="R99" s="1326"/>
      <c r="S99" s="1327"/>
      <c r="T99" s="1326"/>
      <c r="U99" s="1326"/>
      <c r="V99" s="1329">
        <f t="shared" si="32"/>
        <v>0</v>
      </c>
      <c r="W99" s="1329">
        <f t="shared" si="33"/>
        <v>0</v>
      </c>
      <c r="X99" s="1329">
        <f t="shared" si="34"/>
        <v>0</v>
      </c>
      <c r="Y99" s="1329">
        <f t="shared" si="35"/>
        <v>0</v>
      </c>
      <c r="Z99" s="1329">
        <f t="shared" si="36"/>
        <v>0</v>
      </c>
      <c r="AA99" s="1329">
        <f t="shared" si="37"/>
        <v>0</v>
      </c>
      <c r="AB99" s="1329"/>
      <c r="AC99" s="1329">
        <f t="shared" si="38"/>
        <v>0</v>
      </c>
      <c r="AD99" s="1329"/>
      <c r="AE99" s="1329">
        <f t="shared" si="39"/>
        <v>0</v>
      </c>
      <c r="AF99" s="1329">
        <f t="shared" si="40"/>
        <v>0</v>
      </c>
      <c r="AG99" s="1330">
        <f t="shared" si="21"/>
        <v>0</v>
      </c>
      <c r="AH99" s="1330">
        <f t="shared" si="22"/>
        <v>0</v>
      </c>
    </row>
    <row r="100" spans="2:34">
      <c r="B100" s="1687"/>
      <c r="C100" s="1687"/>
      <c r="D100" s="1687"/>
      <c r="E100" s="2152"/>
      <c r="F100" s="1326"/>
      <c r="G100" s="1327"/>
      <c r="H100" s="1326"/>
      <c r="I100" s="1327"/>
      <c r="J100" s="1687"/>
      <c r="K100" s="1687"/>
      <c r="L100" s="1687"/>
      <c r="M100" s="1328"/>
      <c r="N100" s="1328"/>
      <c r="O100" s="1687"/>
      <c r="P100" s="1687"/>
      <c r="Q100" s="1687"/>
      <c r="R100" s="1326"/>
      <c r="S100" s="1327"/>
      <c r="T100" s="1326"/>
      <c r="U100" s="1326"/>
      <c r="V100" s="1329">
        <f t="shared" si="32"/>
        <v>0</v>
      </c>
      <c r="W100" s="1329">
        <f t="shared" si="33"/>
        <v>0</v>
      </c>
      <c r="X100" s="1329">
        <f t="shared" si="34"/>
        <v>0</v>
      </c>
      <c r="Y100" s="1329">
        <f t="shared" si="35"/>
        <v>0</v>
      </c>
      <c r="Z100" s="1329">
        <f t="shared" si="36"/>
        <v>0</v>
      </c>
      <c r="AA100" s="1329">
        <f t="shared" si="37"/>
        <v>0</v>
      </c>
      <c r="AB100" s="1329"/>
      <c r="AC100" s="1329">
        <f t="shared" si="38"/>
        <v>0</v>
      </c>
      <c r="AD100" s="1329"/>
      <c r="AE100" s="1329">
        <f t="shared" si="39"/>
        <v>0</v>
      </c>
      <c r="AF100" s="1329">
        <f t="shared" si="40"/>
        <v>0</v>
      </c>
      <c r="AG100" s="1330">
        <f t="shared" si="21"/>
        <v>0</v>
      </c>
      <c r="AH100" s="1330">
        <f t="shared" si="22"/>
        <v>0</v>
      </c>
    </row>
    <row r="101" spans="2:34">
      <c r="B101" s="1687"/>
      <c r="C101" s="1687"/>
      <c r="D101" s="1687"/>
      <c r="E101" s="2152"/>
      <c r="F101" s="1326"/>
      <c r="G101" s="1327"/>
      <c r="H101" s="1326"/>
      <c r="I101" s="1327"/>
      <c r="J101" s="1687"/>
      <c r="K101" s="1687"/>
      <c r="L101" s="1687"/>
      <c r="M101" s="1328"/>
      <c r="N101" s="1328"/>
      <c r="O101" s="1687"/>
      <c r="P101" s="1687"/>
      <c r="Q101" s="1687"/>
      <c r="R101" s="1326"/>
      <c r="S101" s="1327"/>
      <c r="T101" s="1326"/>
      <c r="U101" s="1326"/>
      <c r="V101" s="1329">
        <f t="shared" si="32"/>
        <v>0</v>
      </c>
      <c r="W101" s="1329">
        <f t="shared" si="33"/>
        <v>0</v>
      </c>
      <c r="X101" s="1329">
        <f t="shared" si="34"/>
        <v>0</v>
      </c>
      <c r="Y101" s="1329">
        <f t="shared" si="35"/>
        <v>0</v>
      </c>
      <c r="Z101" s="1329">
        <f t="shared" si="36"/>
        <v>0</v>
      </c>
      <c r="AA101" s="1329">
        <f t="shared" si="37"/>
        <v>0</v>
      </c>
      <c r="AB101" s="1329"/>
      <c r="AC101" s="1329">
        <f t="shared" si="38"/>
        <v>0</v>
      </c>
      <c r="AD101" s="1329"/>
      <c r="AE101" s="1329">
        <f t="shared" si="39"/>
        <v>0</v>
      </c>
      <c r="AF101" s="1329">
        <f t="shared" si="40"/>
        <v>0</v>
      </c>
      <c r="AG101" s="1330">
        <f t="shared" si="21"/>
        <v>0</v>
      </c>
      <c r="AH101" s="1330">
        <f t="shared" si="22"/>
        <v>0</v>
      </c>
    </row>
    <row r="102" spans="2:34">
      <c r="B102" s="1687"/>
      <c r="C102" s="1687"/>
      <c r="D102" s="1687"/>
      <c r="E102" s="2152"/>
      <c r="F102" s="1326"/>
      <c r="G102" s="1327"/>
      <c r="H102" s="1326"/>
      <c r="I102" s="1327"/>
      <c r="J102" s="1687"/>
      <c r="K102" s="1687"/>
      <c r="L102" s="1687"/>
      <c r="M102" s="1328"/>
      <c r="N102" s="1328"/>
      <c r="O102" s="1687"/>
      <c r="P102" s="1687"/>
      <c r="Q102" s="1687"/>
      <c r="R102" s="1326"/>
      <c r="S102" s="1327"/>
      <c r="T102" s="1326"/>
      <c r="U102" s="1326"/>
      <c r="V102" s="1329">
        <f t="shared" si="32"/>
        <v>0</v>
      </c>
      <c r="W102" s="1329">
        <f t="shared" si="33"/>
        <v>0</v>
      </c>
      <c r="X102" s="1329">
        <f t="shared" si="34"/>
        <v>0</v>
      </c>
      <c r="Y102" s="1329">
        <f t="shared" si="35"/>
        <v>0</v>
      </c>
      <c r="Z102" s="1329">
        <f t="shared" si="36"/>
        <v>0</v>
      </c>
      <c r="AA102" s="1329">
        <f t="shared" si="37"/>
        <v>0</v>
      </c>
      <c r="AB102" s="1329"/>
      <c r="AC102" s="1329">
        <f t="shared" si="38"/>
        <v>0</v>
      </c>
      <c r="AD102" s="1329"/>
      <c r="AE102" s="1329">
        <f t="shared" si="39"/>
        <v>0</v>
      </c>
      <c r="AF102" s="1329">
        <f t="shared" si="40"/>
        <v>0</v>
      </c>
      <c r="AG102" s="1330">
        <f t="shared" si="21"/>
        <v>0</v>
      </c>
      <c r="AH102" s="1330">
        <f t="shared" si="22"/>
        <v>0</v>
      </c>
    </row>
    <row r="103" spans="2:34">
      <c r="B103" s="1687"/>
      <c r="C103" s="1687"/>
      <c r="D103" s="1687"/>
      <c r="E103" s="2152"/>
      <c r="F103" s="1326"/>
      <c r="G103" s="1327"/>
      <c r="H103" s="1326"/>
      <c r="I103" s="1327"/>
      <c r="J103" s="1687"/>
      <c r="K103" s="1687"/>
      <c r="L103" s="1687"/>
      <c r="M103" s="1328"/>
      <c r="N103" s="1328"/>
      <c r="O103" s="1687"/>
      <c r="P103" s="1687"/>
      <c r="Q103" s="1687"/>
      <c r="R103" s="1326"/>
      <c r="S103" s="1327"/>
      <c r="T103" s="1326"/>
      <c r="U103" s="1326"/>
      <c r="V103" s="1329">
        <f t="shared" si="32"/>
        <v>0</v>
      </c>
      <c r="W103" s="1329">
        <f t="shared" si="33"/>
        <v>0</v>
      </c>
      <c r="X103" s="1329">
        <f t="shared" si="34"/>
        <v>0</v>
      </c>
      <c r="Y103" s="1329">
        <f t="shared" si="35"/>
        <v>0</v>
      </c>
      <c r="Z103" s="1329">
        <f t="shared" si="36"/>
        <v>0</v>
      </c>
      <c r="AA103" s="1329">
        <f t="shared" si="37"/>
        <v>0</v>
      </c>
      <c r="AB103" s="1329"/>
      <c r="AC103" s="1329">
        <f t="shared" si="38"/>
        <v>0</v>
      </c>
      <c r="AD103" s="1329"/>
      <c r="AE103" s="1329">
        <f t="shared" si="39"/>
        <v>0</v>
      </c>
      <c r="AF103" s="1329">
        <f t="shared" si="40"/>
        <v>0</v>
      </c>
      <c r="AG103" s="1330">
        <f t="shared" si="21"/>
        <v>0</v>
      </c>
      <c r="AH103" s="1330">
        <f t="shared" si="22"/>
        <v>0</v>
      </c>
    </row>
    <row r="104" spans="2:34">
      <c r="B104" s="1687"/>
      <c r="C104" s="1687"/>
      <c r="D104" s="1687"/>
      <c r="E104" s="2152"/>
      <c r="F104" s="1326"/>
      <c r="G104" s="1327"/>
      <c r="H104" s="1326"/>
      <c r="I104" s="1327"/>
      <c r="J104" s="1687"/>
      <c r="K104" s="1687"/>
      <c r="L104" s="1687"/>
      <c r="M104" s="1328"/>
      <c r="N104" s="1328"/>
      <c r="O104" s="1687"/>
      <c r="P104" s="1687"/>
      <c r="Q104" s="1687"/>
      <c r="R104" s="1326"/>
      <c r="S104" s="1327"/>
      <c r="T104" s="1326"/>
      <c r="U104" s="1326"/>
      <c r="V104" s="1329">
        <f t="shared" si="32"/>
        <v>0</v>
      </c>
      <c r="W104" s="1329">
        <f t="shared" si="33"/>
        <v>0</v>
      </c>
      <c r="X104" s="1329">
        <f t="shared" si="34"/>
        <v>0</v>
      </c>
      <c r="Y104" s="1329">
        <f t="shared" si="35"/>
        <v>0</v>
      </c>
      <c r="Z104" s="1329">
        <f t="shared" si="36"/>
        <v>0</v>
      </c>
      <c r="AA104" s="1329">
        <f t="shared" si="37"/>
        <v>0</v>
      </c>
      <c r="AB104" s="1329"/>
      <c r="AC104" s="1329">
        <f t="shared" si="38"/>
        <v>0</v>
      </c>
      <c r="AD104" s="1329"/>
      <c r="AE104" s="1329">
        <f t="shared" si="39"/>
        <v>0</v>
      </c>
      <c r="AF104" s="1329">
        <f t="shared" si="40"/>
        <v>0</v>
      </c>
      <c r="AG104" s="1330">
        <f t="shared" si="21"/>
        <v>0</v>
      </c>
      <c r="AH104" s="1330">
        <f t="shared" si="22"/>
        <v>0</v>
      </c>
    </row>
    <row r="105" spans="2:34">
      <c r="B105" s="1687"/>
      <c r="C105" s="1687"/>
      <c r="D105" s="1687"/>
      <c r="E105" s="2152"/>
      <c r="F105" s="1326"/>
      <c r="G105" s="1327"/>
      <c r="H105" s="1326"/>
      <c r="I105" s="1327"/>
      <c r="J105" s="1687"/>
      <c r="K105" s="1687"/>
      <c r="L105" s="1687"/>
      <c r="M105" s="1328"/>
      <c r="N105" s="1328"/>
      <c r="O105" s="1687"/>
      <c r="P105" s="1687"/>
      <c r="Q105" s="1687"/>
      <c r="R105" s="1326"/>
      <c r="S105" s="1327"/>
      <c r="T105" s="1326"/>
      <c r="U105" s="1326"/>
      <c r="V105" s="1329">
        <f t="shared" si="32"/>
        <v>0</v>
      </c>
      <c r="W105" s="1329">
        <f t="shared" si="33"/>
        <v>0</v>
      </c>
      <c r="X105" s="1329">
        <f t="shared" si="34"/>
        <v>0</v>
      </c>
      <c r="Y105" s="1329">
        <f t="shared" si="35"/>
        <v>0</v>
      </c>
      <c r="Z105" s="1329">
        <f t="shared" si="36"/>
        <v>0</v>
      </c>
      <c r="AA105" s="1329">
        <f t="shared" si="37"/>
        <v>0</v>
      </c>
      <c r="AB105" s="1329"/>
      <c r="AC105" s="1329">
        <f t="shared" si="38"/>
        <v>0</v>
      </c>
      <c r="AD105" s="1329"/>
      <c r="AE105" s="1329">
        <f t="shared" si="39"/>
        <v>0</v>
      </c>
      <c r="AF105" s="1329">
        <f t="shared" si="40"/>
        <v>0</v>
      </c>
      <c r="AG105" s="1330">
        <f t="shared" si="21"/>
        <v>0</v>
      </c>
      <c r="AH105" s="1330">
        <f t="shared" si="22"/>
        <v>0</v>
      </c>
    </row>
    <row r="106" spans="2:34">
      <c r="B106" s="1687"/>
      <c r="C106" s="1687"/>
      <c r="D106" s="1687"/>
      <c r="E106" s="2152"/>
      <c r="F106" s="1326"/>
      <c r="G106" s="1327"/>
      <c r="H106" s="1326"/>
      <c r="I106" s="1327"/>
      <c r="J106" s="1687"/>
      <c r="K106" s="1687"/>
      <c r="L106" s="1687"/>
      <c r="M106" s="1328"/>
      <c r="N106" s="1328"/>
      <c r="O106" s="1687"/>
      <c r="P106" s="1687"/>
      <c r="Q106" s="1687"/>
      <c r="R106" s="1326"/>
      <c r="S106" s="1327"/>
      <c r="T106" s="1326"/>
      <c r="U106" s="1326"/>
      <c r="V106" s="1329">
        <f t="shared" si="32"/>
        <v>0</v>
      </c>
      <c r="W106" s="1329">
        <f t="shared" si="33"/>
        <v>0</v>
      </c>
      <c r="X106" s="1329">
        <f t="shared" si="34"/>
        <v>0</v>
      </c>
      <c r="Y106" s="1329">
        <f t="shared" si="35"/>
        <v>0</v>
      </c>
      <c r="Z106" s="1329">
        <f t="shared" si="36"/>
        <v>0</v>
      </c>
      <c r="AA106" s="1329">
        <f t="shared" si="37"/>
        <v>0</v>
      </c>
      <c r="AB106" s="1329"/>
      <c r="AC106" s="1329">
        <f t="shared" si="38"/>
        <v>0</v>
      </c>
      <c r="AD106" s="1329"/>
      <c r="AE106" s="1329">
        <f t="shared" si="39"/>
        <v>0</v>
      </c>
      <c r="AF106" s="1329">
        <f t="shared" si="40"/>
        <v>0</v>
      </c>
      <c r="AG106" s="1330">
        <f t="shared" si="21"/>
        <v>0</v>
      </c>
      <c r="AH106" s="1330">
        <f t="shared" si="22"/>
        <v>0</v>
      </c>
    </row>
    <row r="107" spans="2:34">
      <c r="B107" s="1687"/>
      <c r="C107" s="1687"/>
      <c r="D107" s="1687"/>
      <c r="E107" s="2152"/>
      <c r="F107" s="1326"/>
      <c r="G107" s="1327"/>
      <c r="H107" s="1326"/>
      <c r="I107" s="1327"/>
      <c r="J107" s="1687"/>
      <c r="K107" s="1687"/>
      <c r="L107" s="1687"/>
      <c r="M107" s="1328"/>
      <c r="N107" s="1328"/>
      <c r="O107" s="1687"/>
      <c r="P107" s="1687"/>
      <c r="Q107" s="1687"/>
      <c r="R107" s="1326"/>
      <c r="S107" s="1327"/>
      <c r="T107" s="1326"/>
      <c r="U107" s="1326"/>
      <c r="V107" s="1329">
        <f t="shared" si="32"/>
        <v>0</v>
      </c>
      <c r="W107" s="1329">
        <f t="shared" si="33"/>
        <v>0</v>
      </c>
      <c r="X107" s="1329">
        <f t="shared" si="34"/>
        <v>0</v>
      </c>
      <c r="Y107" s="1329">
        <f t="shared" si="35"/>
        <v>0</v>
      </c>
      <c r="Z107" s="1329">
        <f t="shared" si="36"/>
        <v>0</v>
      </c>
      <c r="AA107" s="1329">
        <f t="shared" si="37"/>
        <v>0</v>
      </c>
      <c r="AB107" s="1329"/>
      <c r="AC107" s="1329">
        <f t="shared" si="38"/>
        <v>0</v>
      </c>
      <c r="AD107" s="1329"/>
      <c r="AE107" s="1329">
        <f t="shared" si="39"/>
        <v>0</v>
      </c>
      <c r="AF107" s="1329">
        <f t="shared" si="40"/>
        <v>0</v>
      </c>
      <c r="AG107" s="1330">
        <f t="shared" si="21"/>
        <v>0</v>
      </c>
      <c r="AH107" s="1330">
        <f t="shared" si="22"/>
        <v>0</v>
      </c>
    </row>
    <row r="108" spans="2:34">
      <c r="B108" s="1687"/>
      <c r="C108" s="1687"/>
      <c r="D108" s="1687"/>
      <c r="E108" s="2152"/>
      <c r="F108" s="1326"/>
      <c r="G108" s="1327"/>
      <c r="H108" s="1326"/>
      <c r="I108" s="1327"/>
      <c r="J108" s="1687"/>
      <c r="K108" s="1687"/>
      <c r="L108" s="1687"/>
      <c r="M108" s="1328"/>
      <c r="N108" s="1328"/>
      <c r="O108" s="1687"/>
      <c r="P108" s="1687"/>
      <c r="Q108" s="1687"/>
      <c r="R108" s="1326"/>
      <c r="S108" s="1327"/>
      <c r="T108" s="1326"/>
      <c r="U108" s="1326"/>
      <c r="V108" s="1329">
        <f t="shared" si="32"/>
        <v>0</v>
      </c>
      <c r="W108" s="1329">
        <f t="shared" si="33"/>
        <v>0</v>
      </c>
      <c r="X108" s="1329">
        <f t="shared" si="34"/>
        <v>0</v>
      </c>
      <c r="Y108" s="1329">
        <f t="shared" si="35"/>
        <v>0</v>
      </c>
      <c r="Z108" s="1329">
        <f t="shared" si="36"/>
        <v>0</v>
      </c>
      <c r="AA108" s="1329">
        <f t="shared" si="37"/>
        <v>0</v>
      </c>
      <c r="AB108" s="1329"/>
      <c r="AC108" s="1329">
        <f t="shared" si="38"/>
        <v>0</v>
      </c>
      <c r="AD108" s="1329"/>
      <c r="AE108" s="1329">
        <f t="shared" si="39"/>
        <v>0</v>
      </c>
      <c r="AF108" s="1329">
        <f t="shared" si="40"/>
        <v>0</v>
      </c>
      <c r="AG108" s="1330">
        <f t="shared" si="21"/>
        <v>0</v>
      </c>
      <c r="AH108" s="1330">
        <f t="shared" si="22"/>
        <v>0</v>
      </c>
    </row>
    <row r="109" spans="2:34">
      <c r="B109" s="1687"/>
      <c r="C109" s="1687"/>
      <c r="D109" s="1687"/>
      <c r="E109" s="2152"/>
      <c r="F109" s="1326"/>
      <c r="G109" s="1327"/>
      <c r="H109" s="1326"/>
      <c r="I109" s="1327"/>
      <c r="J109" s="1687"/>
      <c r="K109" s="1687"/>
      <c r="L109" s="1687"/>
      <c r="M109" s="1328"/>
      <c r="N109" s="1328"/>
      <c r="O109" s="1687"/>
      <c r="P109" s="1687"/>
      <c r="Q109" s="1687"/>
      <c r="R109" s="1326"/>
      <c r="S109" s="1327"/>
      <c r="T109" s="1326"/>
      <c r="U109" s="1326"/>
      <c r="V109" s="1329">
        <f t="shared" si="32"/>
        <v>0</v>
      </c>
      <c r="W109" s="1329">
        <f t="shared" si="33"/>
        <v>0</v>
      </c>
      <c r="X109" s="1329">
        <f t="shared" si="34"/>
        <v>0</v>
      </c>
      <c r="Y109" s="1329">
        <f t="shared" si="35"/>
        <v>0</v>
      </c>
      <c r="Z109" s="1329">
        <f t="shared" si="36"/>
        <v>0</v>
      </c>
      <c r="AA109" s="1329">
        <f t="shared" si="37"/>
        <v>0</v>
      </c>
      <c r="AB109" s="1329"/>
      <c r="AC109" s="1329">
        <f t="shared" si="38"/>
        <v>0</v>
      </c>
      <c r="AD109" s="1329"/>
      <c r="AE109" s="1329">
        <f t="shared" si="39"/>
        <v>0</v>
      </c>
      <c r="AF109" s="1329">
        <f t="shared" si="40"/>
        <v>0</v>
      </c>
      <c r="AG109" s="1330">
        <f t="shared" si="21"/>
        <v>0</v>
      </c>
      <c r="AH109" s="1330">
        <f t="shared" si="22"/>
        <v>0</v>
      </c>
    </row>
    <row r="110" spans="2:34">
      <c r="B110" s="1687"/>
      <c r="C110" s="1687"/>
      <c r="D110" s="1687"/>
      <c r="E110" s="2152"/>
      <c r="F110" s="1326"/>
      <c r="G110" s="1327"/>
      <c r="H110" s="1326"/>
      <c r="I110" s="1327"/>
      <c r="J110" s="1687"/>
      <c r="K110" s="1687"/>
      <c r="L110" s="1687"/>
      <c r="M110" s="1328"/>
      <c r="N110" s="1328"/>
      <c r="O110" s="1687"/>
      <c r="P110" s="1687"/>
      <c r="Q110" s="1687"/>
      <c r="R110" s="1326"/>
      <c r="S110" s="1327"/>
      <c r="T110" s="1326"/>
      <c r="U110" s="1326"/>
      <c r="V110" s="1329">
        <f t="shared" si="32"/>
        <v>0</v>
      </c>
      <c r="W110" s="1329">
        <f t="shared" si="33"/>
        <v>0</v>
      </c>
      <c r="X110" s="1329">
        <f t="shared" si="34"/>
        <v>0</v>
      </c>
      <c r="Y110" s="1329">
        <f t="shared" si="35"/>
        <v>0</v>
      </c>
      <c r="Z110" s="1329">
        <f t="shared" si="36"/>
        <v>0</v>
      </c>
      <c r="AA110" s="1329">
        <f t="shared" si="37"/>
        <v>0</v>
      </c>
      <c r="AB110" s="1329"/>
      <c r="AC110" s="1329">
        <f t="shared" si="38"/>
        <v>0</v>
      </c>
      <c r="AD110" s="1329"/>
      <c r="AE110" s="1329">
        <f t="shared" si="39"/>
        <v>0</v>
      </c>
      <c r="AF110" s="1329">
        <f t="shared" si="40"/>
        <v>0</v>
      </c>
      <c r="AG110" s="1330">
        <f t="shared" si="21"/>
        <v>0</v>
      </c>
      <c r="AH110" s="1330">
        <f t="shared" si="22"/>
        <v>0</v>
      </c>
    </row>
    <row r="111" spans="2:34">
      <c r="B111" s="1687"/>
      <c r="C111" s="1687"/>
      <c r="D111" s="1687"/>
      <c r="E111" s="2152"/>
      <c r="F111" s="1326"/>
      <c r="G111" s="1327"/>
      <c r="H111" s="1326"/>
      <c r="I111" s="1327"/>
      <c r="J111" s="1687"/>
      <c r="K111" s="1687"/>
      <c r="L111" s="1687"/>
      <c r="M111" s="1328"/>
      <c r="N111" s="1328"/>
      <c r="O111" s="1687"/>
      <c r="P111" s="1687"/>
      <c r="Q111" s="1687"/>
      <c r="R111" s="1326"/>
      <c r="S111" s="1327"/>
      <c r="T111" s="1326"/>
      <c r="U111" s="1326"/>
      <c r="V111" s="1329">
        <f t="shared" si="32"/>
        <v>0</v>
      </c>
      <c r="W111" s="1329">
        <f t="shared" si="33"/>
        <v>0</v>
      </c>
      <c r="X111" s="1329">
        <f t="shared" si="34"/>
        <v>0</v>
      </c>
      <c r="Y111" s="1329">
        <f t="shared" si="35"/>
        <v>0</v>
      </c>
      <c r="Z111" s="1329">
        <f t="shared" si="36"/>
        <v>0</v>
      </c>
      <c r="AA111" s="1329">
        <f t="shared" si="37"/>
        <v>0</v>
      </c>
      <c r="AB111" s="1329"/>
      <c r="AC111" s="1329">
        <f t="shared" si="38"/>
        <v>0</v>
      </c>
      <c r="AD111" s="1329"/>
      <c r="AE111" s="1329">
        <f t="shared" si="39"/>
        <v>0</v>
      </c>
      <c r="AF111" s="1329">
        <f t="shared" si="40"/>
        <v>0</v>
      </c>
      <c r="AG111" s="1330">
        <f t="shared" si="21"/>
        <v>0</v>
      </c>
      <c r="AH111" s="1330">
        <f t="shared" si="22"/>
        <v>0</v>
      </c>
    </row>
    <row r="112" spans="2:34">
      <c r="B112" s="1687"/>
      <c r="C112" s="1687"/>
      <c r="D112" s="1687"/>
      <c r="E112" s="2152"/>
      <c r="F112" s="1326"/>
      <c r="G112" s="1327"/>
      <c r="H112" s="1326"/>
      <c r="I112" s="1327"/>
      <c r="J112" s="1687"/>
      <c r="K112" s="1687"/>
      <c r="L112" s="1687"/>
      <c r="M112" s="1328"/>
      <c r="N112" s="1328"/>
      <c r="O112" s="1687"/>
      <c r="P112" s="1687"/>
      <c r="Q112" s="1687"/>
      <c r="R112" s="1326"/>
      <c r="S112" s="1327"/>
      <c r="T112" s="1326"/>
      <c r="U112" s="1326"/>
      <c r="V112" s="1329">
        <f t="shared" si="32"/>
        <v>0</v>
      </c>
      <c r="W112" s="1329">
        <f t="shared" si="33"/>
        <v>0</v>
      </c>
      <c r="X112" s="1329">
        <f t="shared" si="34"/>
        <v>0</v>
      </c>
      <c r="Y112" s="1329">
        <f t="shared" si="35"/>
        <v>0</v>
      </c>
      <c r="Z112" s="1329">
        <f t="shared" si="36"/>
        <v>0</v>
      </c>
      <c r="AA112" s="1329">
        <f t="shared" si="37"/>
        <v>0</v>
      </c>
      <c r="AB112" s="1329"/>
      <c r="AC112" s="1329">
        <f t="shared" si="38"/>
        <v>0</v>
      </c>
      <c r="AD112" s="1329"/>
      <c r="AE112" s="1329">
        <f t="shared" si="39"/>
        <v>0</v>
      </c>
      <c r="AF112" s="1329">
        <f t="shared" si="40"/>
        <v>0</v>
      </c>
      <c r="AG112" s="1330">
        <f t="shared" si="21"/>
        <v>0</v>
      </c>
      <c r="AH112" s="1330">
        <f t="shared" si="22"/>
        <v>0</v>
      </c>
    </row>
    <row r="113" spans="2:34">
      <c r="B113" s="1687"/>
      <c r="C113" s="1687"/>
      <c r="D113" s="1687"/>
      <c r="E113" s="2152"/>
      <c r="F113" s="1326"/>
      <c r="G113" s="1327"/>
      <c r="H113" s="1326"/>
      <c r="I113" s="1327"/>
      <c r="J113" s="1687"/>
      <c r="K113" s="1687"/>
      <c r="L113" s="1687"/>
      <c r="M113" s="1328"/>
      <c r="N113" s="1328"/>
      <c r="O113" s="1687"/>
      <c r="P113" s="1687"/>
      <c r="Q113" s="1687"/>
      <c r="R113" s="1326"/>
      <c r="S113" s="1327"/>
      <c r="T113" s="1326"/>
      <c r="U113" s="1326"/>
      <c r="V113" s="1329">
        <f t="shared" si="32"/>
        <v>0</v>
      </c>
      <c r="W113" s="1329">
        <f t="shared" si="33"/>
        <v>0</v>
      </c>
      <c r="X113" s="1329">
        <f t="shared" si="34"/>
        <v>0</v>
      </c>
      <c r="Y113" s="1329">
        <f t="shared" si="35"/>
        <v>0</v>
      </c>
      <c r="Z113" s="1329">
        <f t="shared" si="36"/>
        <v>0</v>
      </c>
      <c r="AA113" s="1329">
        <f t="shared" si="37"/>
        <v>0</v>
      </c>
      <c r="AB113" s="1329"/>
      <c r="AC113" s="1329">
        <f t="shared" si="38"/>
        <v>0</v>
      </c>
      <c r="AD113" s="1329"/>
      <c r="AE113" s="1329">
        <f t="shared" si="39"/>
        <v>0</v>
      </c>
      <c r="AF113" s="1329">
        <f t="shared" si="40"/>
        <v>0</v>
      </c>
      <c r="AG113" s="1330">
        <f t="shared" si="21"/>
        <v>0</v>
      </c>
      <c r="AH113" s="1330">
        <f t="shared" si="22"/>
        <v>0</v>
      </c>
    </row>
    <row r="114" spans="2:34">
      <c r="B114" s="1687"/>
      <c r="C114" s="1687"/>
      <c r="D114" s="1687"/>
      <c r="E114" s="2152"/>
      <c r="F114" s="1326"/>
      <c r="G114" s="1327"/>
      <c r="H114" s="1326"/>
      <c r="I114" s="1327"/>
      <c r="J114" s="1687"/>
      <c r="K114" s="1687"/>
      <c r="L114" s="1687"/>
      <c r="M114" s="1328"/>
      <c r="N114" s="1328"/>
      <c r="O114" s="1687"/>
      <c r="P114" s="1687"/>
      <c r="Q114" s="1687"/>
      <c r="R114" s="1326"/>
      <c r="S114" s="1327"/>
      <c r="T114" s="1326"/>
      <c r="U114" s="1326"/>
      <c r="V114" s="1329">
        <f t="shared" si="32"/>
        <v>0</v>
      </c>
      <c r="W114" s="1329">
        <f t="shared" si="33"/>
        <v>0</v>
      </c>
      <c r="X114" s="1329">
        <f t="shared" si="34"/>
        <v>0</v>
      </c>
      <c r="Y114" s="1329">
        <f t="shared" si="35"/>
        <v>0</v>
      </c>
      <c r="Z114" s="1329">
        <f t="shared" si="36"/>
        <v>0</v>
      </c>
      <c r="AA114" s="1329">
        <f t="shared" si="37"/>
        <v>0</v>
      </c>
      <c r="AB114" s="1329"/>
      <c r="AC114" s="1329">
        <f t="shared" si="38"/>
        <v>0</v>
      </c>
      <c r="AD114" s="1329"/>
      <c r="AE114" s="1329">
        <f t="shared" si="39"/>
        <v>0</v>
      </c>
      <c r="AF114" s="1329">
        <f t="shared" si="40"/>
        <v>0</v>
      </c>
      <c r="AG114" s="1330">
        <f t="shared" si="21"/>
        <v>0</v>
      </c>
      <c r="AH114" s="1330">
        <f t="shared" si="22"/>
        <v>0</v>
      </c>
    </row>
    <row r="115" spans="2:34">
      <c r="B115" s="1687"/>
      <c r="C115" s="1687"/>
      <c r="D115" s="1687"/>
      <c r="E115" s="2152"/>
      <c r="F115" s="1326"/>
      <c r="G115" s="1327"/>
      <c r="H115" s="1326"/>
      <c r="I115" s="1327"/>
      <c r="J115" s="1687"/>
      <c r="K115" s="1687"/>
      <c r="L115" s="1687"/>
      <c r="M115" s="1328"/>
      <c r="N115" s="1328"/>
      <c r="O115" s="1687"/>
      <c r="P115" s="1687"/>
      <c r="Q115" s="1687"/>
      <c r="R115" s="1326"/>
      <c r="S115" s="1327"/>
      <c r="T115" s="1326"/>
      <c r="U115" s="1326"/>
      <c r="V115" s="1329">
        <f t="shared" si="32"/>
        <v>0</v>
      </c>
      <c r="W115" s="1329">
        <f t="shared" si="33"/>
        <v>0</v>
      </c>
      <c r="X115" s="1329">
        <f t="shared" si="34"/>
        <v>0</v>
      </c>
      <c r="Y115" s="1329">
        <f t="shared" si="35"/>
        <v>0</v>
      </c>
      <c r="Z115" s="1329">
        <f t="shared" si="36"/>
        <v>0</v>
      </c>
      <c r="AA115" s="1329">
        <f t="shared" si="37"/>
        <v>0</v>
      </c>
      <c r="AB115" s="1329"/>
      <c r="AC115" s="1329">
        <f t="shared" si="38"/>
        <v>0</v>
      </c>
      <c r="AD115" s="1329"/>
      <c r="AE115" s="1329">
        <f t="shared" si="39"/>
        <v>0</v>
      </c>
      <c r="AF115" s="1329">
        <f t="shared" si="40"/>
        <v>0</v>
      </c>
      <c r="AG115" s="1330">
        <f t="shared" si="21"/>
        <v>0</v>
      </c>
      <c r="AH115" s="1330">
        <f t="shared" si="22"/>
        <v>0</v>
      </c>
    </row>
    <row r="116" spans="2:34">
      <c r="B116" s="1687"/>
      <c r="C116" s="1687"/>
      <c r="D116" s="1687"/>
      <c r="E116" s="2152"/>
      <c r="F116" s="1326"/>
      <c r="G116" s="1327"/>
      <c r="H116" s="1326"/>
      <c r="I116" s="1327"/>
      <c r="J116" s="1687"/>
      <c r="K116" s="1687"/>
      <c r="L116" s="1687"/>
      <c r="M116" s="1328"/>
      <c r="N116" s="1328"/>
      <c r="O116" s="1687"/>
      <c r="P116" s="1687"/>
      <c r="Q116" s="1687"/>
      <c r="R116" s="1326"/>
      <c r="S116" s="1327"/>
      <c r="T116" s="1326"/>
      <c r="U116" s="1326"/>
      <c r="V116" s="1329">
        <f t="shared" si="32"/>
        <v>0</v>
      </c>
      <c r="W116" s="1329">
        <f t="shared" si="33"/>
        <v>0</v>
      </c>
      <c r="X116" s="1329">
        <f t="shared" si="34"/>
        <v>0</v>
      </c>
      <c r="Y116" s="1329">
        <f t="shared" si="35"/>
        <v>0</v>
      </c>
      <c r="Z116" s="1329">
        <f t="shared" si="36"/>
        <v>0</v>
      </c>
      <c r="AA116" s="1329">
        <f t="shared" si="37"/>
        <v>0</v>
      </c>
      <c r="AB116" s="1329"/>
      <c r="AC116" s="1329">
        <f t="shared" si="38"/>
        <v>0</v>
      </c>
      <c r="AD116" s="1329"/>
      <c r="AE116" s="1329">
        <f t="shared" si="39"/>
        <v>0</v>
      </c>
      <c r="AF116" s="1329">
        <f t="shared" si="40"/>
        <v>0</v>
      </c>
      <c r="AG116" s="1330">
        <f t="shared" si="21"/>
        <v>0</v>
      </c>
      <c r="AH116" s="1330">
        <f t="shared" si="22"/>
        <v>0</v>
      </c>
    </row>
    <row r="117" spans="2:34">
      <c r="B117" s="1687"/>
      <c r="C117" s="1687"/>
      <c r="D117" s="1687"/>
      <c r="E117" s="2152"/>
      <c r="F117" s="1326"/>
      <c r="G117" s="1327"/>
      <c r="H117" s="1326"/>
      <c r="I117" s="1327"/>
      <c r="J117" s="1687"/>
      <c r="K117" s="1687"/>
      <c r="L117" s="1687"/>
      <c r="M117" s="1328"/>
      <c r="N117" s="1328"/>
      <c r="O117" s="1687"/>
      <c r="P117" s="1687"/>
      <c r="Q117" s="1687"/>
      <c r="R117" s="1326"/>
      <c r="S117" s="1327"/>
      <c r="T117" s="1326"/>
      <c r="U117" s="1326"/>
      <c r="V117" s="1329">
        <f t="shared" si="32"/>
        <v>0</v>
      </c>
      <c r="W117" s="1329">
        <f t="shared" si="33"/>
        <v>0</v>
      </c>
      <c r="X117" s="1329">
        <f t="shared" si="34"/>
        <v>0</v>
      </c>
      <c r="Y117" s="1329">
        <f t="shared" si="35"/>
        <v>0</v>
      </c>
      <c r="Z117" s="1329">
        <f t="shared" si="36"/>
        <v>0</v>
      </c>
      <c r="AA117" s="1329">
        <f t="shared" si="37"/>
        <v>0</v>
      </c>
      <c r="AB117" s="1329"/>
      <c r="AC117" s="1329">
        <f t="shared" si="38"/>
        <v>0</v>
      </c>
      <c r="AD117" s="1329"/>
      <c r="AE117" s="1329">
        <f t="shared" si="39"/>
        <v>0</v>
      </c>
      <c r="AF117" s="1329">
        <f t="shared" si="40"/>
        <v>0</v>
      </c>
      <c r="AG117" s="1330">
        <f t="shared" si="21"/>
        <v>0</v>
      </c>
      <c r="AH117" s="1330">
        <f t="shared" si="22"/>
        <v>0</v>
      </c>
    </row>
    <row r="118" spans="2:34">
      <c r="B118" s="1687"/>
      <c r="C118" s="1687"/>
      <c r="D118" s="1687"/>
      <c r="E118" s="2152"/>
      <c r="F118" s="1326"/>
      <c r="G118" s="1327"/>
      <c r="H118" s="1326"/>
      <c r="I118" s="1327"/>
      <c r="J118" s="1687"/>
      <c r="K118" s="1687"/>
      <c r="L118" s="1687"/>
      <c r="M118" s="1328"/>
      <c r="N118" s="1328"/>
      <c r="O118" s="1687"/>
      <c r="P118" s="1687"/>
      <c r="Q118" s="1687"/>
      <c r="R118" s="1326"/>
      <c r="S118" s="1327"/>
      <c r="T118" s="1326"/>
      <c r="U118" s="1326"/>
      <c r="V118" s="1329">
        <f t="shared" si="23"/>
        <v>0</v>
      </c>
      <c r="W118" s="1329">
        <f t="shared" si="24"/>
        <v>0</v>
      </c>
      <c r="X118" s="1329">
        <f t="shared" si="25"/>
        <v>0</v>
      </c>
      <c r="Y118" s="1329">
        <f t="shared" si="26"/>
        <v>0</v>
      </c>
      <c r="Z118" s="1329">
        <f t="shared" si="27"/>
        <v>0</v>
      </c>
      <c r="AA118" s="1329">
        <f t="shared" si="28"/>
        <v>0</v>
      </c>
      <c r="AB118" s="1329"/>
      <c r="AC118" s="1329">
        <f t="shared" si="29"/>
        <v>0</v>
      </c>
      <c r="AD118" s="1329"/>
      <c r="AE118" s="1329">
        <f t="shared" si="30"/>
        <v>0</v>
      </c>
      <c r="AF118" s="1329">
        <f t="shared" si="31"/>
        <v>0</v>
      </c>
      <c r="AG118" s="1330">
        <f t="shared" si="21"/>
        <v>0</v>
      </c>
      <c r="AH118" s="1330">
        <f t="shared" si="22"/>
        <v>0</v>
      </c>
    </row>
    <row r="119" spans="2:34">
      <c r="B119" s="1687"/>
      <c r="C119" s="1687"/>
      <c r="D119" s="1687"/>
      <c r="E119" s="2152"/>
      <c r="F119" s="1326"/>
      <c r="G119" s="1327"/>
      <c r="H119" s="1326"/>
      <c r="I119" s="1327"/>
      <c r="J119" s="1687"/>
      <c r="K119" s="1687"/>
      <c r="L119" s="1687"/>
      <c r="M119" s="1328"/>
      <c r="N119" s="1328"/>
      <c r="O119" s="1687"/>
      <c r="P119" s="1687"/>
      <c r="Q119" s="1687"/>
      <c r="R119" s="1326"/>
      <c r="S119" s="1327"/>
      <c r="T119" s="1326"/>
      <c r="U119" s="1326"/>
      <c r="V119" s="1329">
        <f t="shared" si="23"/>
        <v>0</v>
      </c>
      <c r="W119" s="1329">
        <f t="shared" si="24"/>
        <v>0</v>
      </c>
      <c r="X119" s="1329">
        <f t="shared" si="25"/>
        <v>0</v>
      </c>
      <c r="Y119" s="1329">
        <f t="shared" si="26"/>
        <v>0</v>
      </c>
      <c r="Z119" s="1329">
        <f t="shared" si="27"/>
        <v>0</v>
      </c>
      <c r="AA119" s="1329">
        <f t="shared" si="28"/>
        <v>0</v>
      </c>
      <c r="AB119" s="1329"/>
      <c r="AC119" s="1329">
        <f t="shared" si="29"/>
        <v>0</v>
      </c>
      <c r="AD119" s="1329"/>
      <c r="AE119" s="1329">
        <f t="shared" si="30"/>
        <v>0</v>
      </c>
      <c r="AF119" s="1329">
        <f t="shared" si="31"/>
        <v>0</v>
      </c>
      <c r="AG119" s="1330">
        <f t="shared" si="21"/>
        <v>0</v>
      </c>
      <c r="AH119" s="1330">
        <f t="shared" si="22"/>
        <v>0</v>
      </c>
    </row>
    <row r="120" spans="2:34">
      <c r="B120" s="1687"/>
      <c r="C120" s="1687"/>
      <c r="D120" s="1687"/>
      <c r="E120" s="2152"/>
      <c r="F120" s="1326"/>
      <c r="G120" s="1327"/>
      <c r="H120" s="1326"/>
      <c r="I120" s="1327"/>
      <c r="J120" s="1687"/>
      <c r="K120" s="1687"/>
      <c r="L120" s="1687"/>
      <c r="M120" s="1328"/>
      <c r="N120" s="1328"/>
      <c r="O120" s="1687"/>
      <c r="P120" s="1687"/>
      <c r="Q120" s="1687"/>
      <c r="R120" s="1326"/>
      <c r="S120" s="1327"/>
      <c r="T120" s="1326"/>
      <c r="U120" s="1326"/>
      <c r="V120" s="1329">
        <f t="shared" si="23"/>
        <v>0</v>
      </c>
      <c r="W120" s="1329">
        <f t="shared" si="24"/>
        <v>0</v>
      </c>
      <c r="X120" s="1329">
        <f t="shared" si="25"/>
        <v>0</v>
      </c>
      <c r="Y120" s="1329">
        <f t="shared" si="26"/>
        <v>0</v>
      </c>
      <c r="Z120" s="1329">
        <f t="shared" si="27"/>
        <v>0</v>
      </c>
      <c r="AA120" s="1329">
        <f t="shared" si="28"/>
        <v>0</v>
      </c>
      <c r="AB120" s="1329"/>
      <c r="AC120" s="1329">
        <f t="shared" si="29"/>
        <v>0</v>
      </c>
      <c r="AD120" s="1329"/>
      <c r="AE120" s="1329">
        <f t="shared" si="30"/>
        <v>0</v>
      </c>
      <c r="AF120" s="1329">
        <f t="shared" si="31"/>
        <v>0</v>
      </c>
      <c r="AG120" s="1330">
        <f t="shared" si="21"/>
        <v>0</v>
      </c>
      <c r="AH120" s="1330">
        <f t="shared" si="22"/>
        <v>0</v>
      </c>
    </row>
    <row r="121" spans="2:34">
      <c r="B121" s="1687"/>
      <c r="C121" s="1687"/>
      <c r="D121" s="1687"/>
      <c r="E121" s="2152"/>
      <c r="F121" s="1326"/>
      <c r="G121" s="1327"/>
      <c r="H121" s="1326"/>
      <c r="I121" s="1327"/>
      <c r="J121" s="1687"/>
      <c r="K121" s="1687"/>
      <c r="L121" s="1687"/>
      <c r="M121" s="1328"/>
      <c r="N121" s="1328"/>
      <c r="O121" s="1687"/>
      <c r="P121" s="1687"/>
      <c r="Q121" s="1687"/>
      <c r="R121" s="1326"/>
      <c r="S121" s="1327"/>
      <c r="T121" s="1326"/>
      <c r="U121" s="1326"/>
      <c r="V121" s="1329">
        <f t="shared" si="23"/>
        <v>0</v>
      </c>
      <c r="W121" s="1329">
        <f t="shared" si="24"/>
        <v>0</v>
      </c>
      <c r="X121" s="1329">
        <f t="shared" si="25"/>
        <v>0</v>
      </c>
      <c r="Y121" s="1329">
        <f t="shared" si="26"/>
        <v>0</v>
      </c>
      <c r="Z121" s="1329">
        <f t="shared" si="27"/>
        <v>0</v>
      </c>
      <c r="AA121" s="1329">
        <f t="shared" si="28"/>
        <v>0</v>
      </c>
      <c r="AB121" s="1329"/>
      <c r="AC121" s="1329">
        <f t="shared" si="29"/>
        <v>0</v>
      </c>
      <c r="AD121" s="1329"/>
      <c r="AE121" s="1329">
        <f t="shared" si="30"/>
        <v>0</v>
      </c>
      <c r="AF121" s="1329">
        <f t="shared" si="31"/>
        <v>0</v>
      </c>
      <c r="AG121" s="1330">
        <f t="shared" si="21"/>
        <v>0</v>
      </c>
      <c r="AH121" s="1330">
        <f t="shared" si="22"/>
        <v>0</v>
      </c>
    </row>
    <row r="122" spans="2:34">
      <c r="B122" s="1687"/>
      <c r="C122" s="1687"/>
      <c r="D122" s="1687"/>
      <c r="E122" s="2152"/>
      <c r="F122" s="1326"/>
      <c r="G122" s="1327"/>
      <c r="H122" s="1326"/>
      <c r="I122" s="1327"/>
      <c r="J122" s="1687"/>
      <c r="K122" s="1687"/>
      <c r="L122" s="1687"/>
      <c r="M122" s="1328"/>
      <c r="N122" s="1328"/>
      <c r="O122" s="1687"/>
      <c r="P122" s="1687"/>
      <c r="Q122" s="1687"/>
      <c r="R122" s="1326"/>
      <c r="S122" s="1327"/>
      <c r="T122" s="1326"/>
      <c r="U122" s="1326"/>
      <c r="V122" s="1329">
        <f t="shared" si="23"/>
        <v>0</v>
      </c>
      <c r="W122" s="1329">
        <f t="shared" si="24"/>
        <v>0</v>
      </c>
      <c r="X122" s="1329">
        <f t="shared" si="25"/>
        <v>0</v>
      </c>
      <c r="Y122" s="1329">
        <f t="shared" si="26"/>
        <v>0</v>
      </c>
      <c r="Z122" s="1329">
        <f t="shared" si="27"/>
        <v>0</v>
      </c>
      <c r="AA122" s="1329">
        <f t="shared" si="28"/>
        <v>0</v>
      </c>
      <c r="AB122" s="1329"/>
      <c r="AC122" s="1329">
        <f t="shared" si="29"/>
        <v>0</v>
      </c>
      <c r="AD122" s="1329"/>
      <c r="AE122" s="1329">
        <f t="shared" si="30"/>
        <v>0</v>
      </c>
      <c r="AF122" s="1329">
        <f t="shared" si="31"/>
        <v>0</v>
      </c>
      <c r="AG122" s="1330">
        <f t="shared" si="21"/>
        <v>0</v>
      </c>
      <c r="AH122" s="1330">
        <f t="shared" si="22"/>
        <v>0</v>
      </c>
    </row>
    <row r="123" spans="2:34">
      <c r="B123" s="1687"/>
      <c r="C123" s="1687"/>
      <c r="D123" s="1687"/>
      <c r="E123" s="2152"/>
      <c r="F123" s="1326"/>
      <c r="G123" s="1327"/>
      <c r="H123" s="1326"/>
      <c r="I123" s="1327"/>
      <c r="J123" s="1687"/>
      <c r="K123" s="1687"/>
      <c r="L123" s="1687"/>
      <c r="M123" s="1328"/>
      <c r="N123" s="1328"/>
      <c r="O123" s="1687"/>
      <c r="P123" s="1687"/>
      <c r="Q123" s="1687"/>
      <c r="R123" s="1326"/>
      <c r="S123" s="1327"/>
      <c r="T123" s="1326"/>
      <c r="U123" s="1326"/>
      <c r="V123" s="1329">
        <f t="shared" ref="V123:V185" si="41">IF(F123&gt;=0,0,"c50&gt;=0")</f>
        <v>0</v>
      </c>
      <c r="W123" s="1329">
        <f t="shared" ref="W123:W185" si="42">IF(H123&gt;=0,0,"c70&gt;=0")</f>
        <v>0</v>
      </c>
      <c r="X123" s="1329">
        <f t="shared" ref="X123:X185" si="43">IF(M123&lt;=1,0,"c110&lt;=1")</f>
        <v>0</v>
      </c>
      <c r="Y123" s="1329">
        <f t="shared" ref="Y123:Y185" si="44">IF(M123&gt;=0,0,"c110&gt;=0")</f>
        <v>0</v>
      </c>
      <c r="Z123" s="1329">
        <f t="shared" ref="Z123:Z185" si="45">IF(N123&lt;=1,0,"c120&lt;=1")</f>
        <v>0</v>
      </c>
      <c r="AA123" s="1329">
        <f t="shared" ref="AA123:AA185" si="46">IF(N123&gt;=0,0,"c120&gt;=0")</f>
        <v>0</v>
      </c>
      <c r="AB123" s="1329"/>
      <c r="AC123" s="1329">
        <f t="shared" ref="AC123:AC185" si="47">IF(R123&gt;=0,0,"c160&gt;=0")</f>
        <v>0</v>
      </c>
      <c r="AD123" s="1329"/>
      <c r="AE123" s="1329">
        <f t="shared" ref="AE123:AE185" si="48">IF(T123&gt;=0,0,"c180&gt;=0")</f>
        <v>0</v>
      </c>
      <c r="AF123" s="1329">
        <f t="shared" ref="AF123:AF185" si="49">IF(U123&gt;=0,0,"c190&gt;=0")</f>
        <v>0</v>
      </c>
      <c r="AG123" s="1330">
        <f t="shared" si="21"/>
        <v>0</v>
      </c>
      <c r="AH123" s="1330">
        <f t="shared" si="22"/>
        <v>0</v>
      </c>
    </row>
    <row r="124" spans="2:34">
      <c r="B124" s="1687"/>
      <c r="C124" s="1687"/>
      <c r="D124" s="1687"/>
      <c r="E124" s="2152"/>
      <c r="F124" s="1326"/>
      <c r="G124" s="1327"/>
      <c r="H124" s="1326"/>
      <c r="I124" s="1327"/>
      <c r="J124" s="1687"/>
      <c r="K124" s="1687"/>
      <c r="L124" s="1687"/>
      <c r="M124" s="1328"/>
      <c r="N124" s="1328"/>
      <c r="O124" s="1687"/>
      <c r="P124" s="1687"/>
      <c r="Q124" s="1687"/>
      <c r="R124" s="1326"/>
      <c r="S124" s="1327"/>
      <c r="T124" s="1326"/>
      <c r="U124" s="1326"/>
      <c r="V124" s="1329">
        <f t="shared" si="41"/>
        <v>0</v>
      </c>
      <c r="W124" s="1329">
        <f t="shared" si="42"/>
        <v>0</v>
      </c>
      <c r="X124" s="1329">
        <f t="shared" si="43"/>
        <v>0</v>
      </c>
      <c r="Y124" s="1329">
        <f t="shared" si="44"/>
        <v>0</v>
      </c>
      <c r="Z124" s="1329">
        <f t="shared" si="45"/>
        <v>0</v>
      </c>
      <c r="AA124" s="1329">
        <f t="shared" si="46"/>
        <v>0</v>
      </c>
      <c r="AB124" s="1329"/>
      <c r="AC124" s="1329">
        <f t="shared" si="47"/>
        <v>0</v>
      </c>
      <c r="AD124" s="1329"/>
      <c r="AE124" s="1329">
        <f t="shared" si="48"/>
        <v>0</v>
      </c>
      <c r="AF124" s="1329">
        <f t="shared" si="49"/>
        <v>0</v>
      </c>
      <c r="AG124" s="1330">
        <f t="shared" si="21"/>
        <v>0</v>
      </c>
      <c r="AH124" s="1330">
        <f t="shared" si="22"/>
        <v>0</v>
      </c>
    </row>
    <row r="125" spans="2:34">
      <c r="B125" s="1687"/>
      <c r="C125" s="1687"/>
      <c r="D125" s="1687"/>
      <c r="E125" s="2152"/>
      <c r="F125" s="1326"/>
      <c r="G125" s="1327"/>
      <c r="H125" s="1326"/>
      <c r="I125" s="1327"/>
      <c r="J125" s="1687"/>
      <c r="K125" s="1687"/>
      <c r="L125" s="1687"/>
      <c r="M125" s="1328"/>
      <c r="N125" s="1328"/>
      <c r="O125" s="1687"/>
      <c r="P125" s="1687"/>
      <c r="Q125" s="1687"/>
      <c r="R125" s="1326"/>
      <c r="S125" s="1327"/>
      <c r="T125" s="1326"/>
      <c r="U125" s="1326"/>
      <c r="V125" s="1329">
        <f t="shared" si="41"/>
        <v>0</v>
      </c>
      <c r="W125" s="1329">
        <f t="shared" si="42"/>
        <v>0</v>
      </c>
      <c r="X125" s="1329">
        <f t="shared" si="43"/>
        <v>0</v>
      </c>
      <c r="Y125" s="1329">
        <f t="shared" si="44"/>
        <v>0</v>
      </c>
      <c r="Z125" s="1329">
        <f t="shared" si="45"/>
        <v>0</v>
      </c>
      <c r="AA125" s="1329">
        <f t="shared" si="46"/>
        <v>0</v>
      </c>
      <c r="AB125" s="1329"/>
      <c r="AC125" s="1329">
        <f t="shared" si="47"/>
        <v>0</v>
      </c>
      <c r="AD125" s="1329"/>
      <c r="AE125" s="1329">
        <f t="shared" si="48"/>
        <v>0</v>
      </c>
      <c r="AF125" s="1329">
        <f t="shared" si="49"/>
        <v>0</v>
      </c>
      <c r="AG125" s="1330">
        <f t="shared" si="21"/>
        <v>0</v>
      </c>
      <c r="AH125" s="1330">
        <f t="shared" si="22"/>
        <v>0</v>
      </c>
    </row>
    <row r="126" spans="2:34">
      <c r="B126" s="1687"/>
      <c r="C126" s="1687"/>
      <c r="D126" s="1687"/>
      <c r="E126" s="2152"/>
      <c r="F126" s="1326"/>
      <c r="G126" s="1327"/>
      <c r="H126" s="1326"/>
      <c r="I126" s="1327"/>
      <c r="J126" s="1687"/>
      <c r="K126" s="1687"/>
      <c r="L126" s="1687"/>
      <c r="M126" s="1328"/>
      <c r="N126" s="1328"/>
      <c r="O126" s="1687"/>
      <c r="P126" s="1687"/>
      <c r="Q126" s="1687"/>
      <c r="R126" s="1326"/>
      <c r="S126" s="1327"/>
      <c r="T126" s="1326"/>
      <c r="U126" s="1326"/>
      <c r="V126" s="1329">
        <f t="shared" si="41"/>
        <v>0</v>
      </c>
      <c r="W126" s="1329">
        <f t="shared" si="42"/>
        <v>0</v>
      </c>
      <c r="X126" s="1329">
        <f t="shared" si="43"/>
        <v>0</v>
      </c>
      <c r="Y126" s="1329">
        <f t="shared" si="44"/>
        <v>0</v>
      </c>
      <c r="Z126" s="1329">
        <f t="shared" si="45"/>
        <v>0</v>
      </c>
      <c r="AA126" s="1329">
        <f t="shared" si="46"/>
        <v>0</v>
      </c>
      <c r="AB126" s="1329"/>
      <c r="AC126" s="1329">
        <f t="shared" si="47"/>
        <v>0</v>
      </c>
      <c r="AD126" s="1329"/>
      <c r="AE126" s="1329">
        <f t="shared" si="48"/>
        <v>0</v>
      </c>
      <c r="AF126" s="1329">
        <f t="shared" si="49"/>
        <v>0</v>
      </c>
      <c r="AG126" s="1330">
        <f t="shared" si="21"/>
        <v>0</v>
      </c>
      <c r="AH126" s="1330">
        <f t="shared" si="22"/>
        <v>0</v>
      </c>
    </row>
    <row r="127" spans="2:34">
      <c r="B127" s="1687"/>
      <c r="C127" s="1687"/>
      <c r="D127" s="1687"/>
      <c r="E127" s="2152"/>
      <c r="F127" s="1326"/>
      <c r="G127" s="1327"/>
      <c r="H127" s="1326"/>
      <c r="I127" s="1327"/>
      <c r="J127" s="1687"/>
      <c r="K127" s="1687"/>
      <c r="L127" s="1687"/>
      <c r="M127" s="1328"/>
      <c r="N127" s="1328"/>
      <c r="O127" s="1687"/>
      <c r="P127" s="1687"/>
      <c r="Q127" s="1687"/>
      <c r="R127" s="1326"/>
      <c r="S127" s="1327"/>
      <c r="T127" s="1326"/>
      <c r="U127" s="1326"/>
      <c r="V127" s="1329">
        <f t="shared" si="41"/>
        <v>0</v>
      </c>
      <c r="W127" s="1329">
        <f t="shared" si="42"/>
        <v>0</v>
      </c>
      <c r="X127" s="1329">
        <f t="shared" si="43"/>
        <v>0</v>
      </c>
      <c r="Y127" s="1329">
        <f t="shared" si="44"/>
        <v>0</v>
      </c>
      <c r="Z127" s="1329">
        <f t="shared" si="45"/>
        <v>0</v>
      </c>
      <c r="AA127" s="1329">
        <f t="shared" si="46"/>
        <v>0</v>
      </c>
      <c r="AB127" s="1329"/>
      <c r="AC127" s="1329">
        <f t="shared" si="47"/>
        <v>0</v>
      </c>
      <c r="AD127" s="1329"/>
      <c r="AE127" s="1329">
        <f t="shared" si="48"/>
        <v>0</v>
      </c>
      <c r="AF127" s="1329">
        <f t="shared" si="49"/>
        <v>0</v>
      </c>
      <c r="AG127" s="1330">
        <f t="shared" si="21"/>
        <v>0</v>
      </c>
      <c r="AH127" s="1330">
        <f t="shared" si="22"/>
        <v>0</v>
      </c>
    </row>
    <row r="128" spans="2:34">
      <c r="B128" s="1687"/>
      <c r="C128" s="1687"/>
      <c r="D128" s="1687"/>
      <c r="E128" s="2152"/>
      <c r="F128" s="1326"/>
      <c r="G128" s="1327"/>
      <c r="H128" s="1326"/>
      <c r="I128" s="1327"/>
      <c r="J128" s="1687"/>
      <c r="K128" s="1687"/>
      <c r="L128" s="1687"/>
      <c r="M128" s="1328"/>
      <c r="N128" s="1328"/>
      <c r="O128" s="1687"/>
      <c r="P128" s="1687"/>
      <c r="Q128" s="1687"/>
      <c r="R128" s="1326"/>
      <c r="S128" s="1327"/>
      <c r="T128" s="1326"/>
      <c r="U128" s="1326"/>
      <c r="V128" s="1329">
        <f t="shared" si="41"/>
        <v>0</v>
      </c>
      <c r="W128" s="1329">
        <f t="shared" si="42"/>
        <v>0</v>
      </c>
      <c r="X128" s="1329">
        <f t="shared" si="43"/>
        <v>0</v>
      </c>
      <c r="Y128" s="1329">
        <f t="shared" si="44"/>
        <v>0</v>
      </c>
      <c r="Z128" s="1329">
        <f t="shared" si="45"/>
        <v>0</v>
      </c>
      <c r="AA128" s="1329">
        <f t="shared" si="46"/>
        <v>0</v>
      </c>
      <c r="AB128" s="1329"/>
      <c r="AC128" s="1329">
        <f t="shared" si="47"/>
        <v>0</v>
      </c>
      <c r="AD128" s="1329"/>
      <c r="AE128" s="1329">
        <f t="shared" si="48"/>
        <v>0</v>
      </c>
      <c r="AF128" s="1329">
        <f t="shared" si="49"/>
        <v>0</v>
      </c>
      <c r="AG128" s="1330">
        <f t="shared" si="21"/>
        <v>0</v>
      </c>
      <c r="AH128" s="1330">
        <f t="shared" si="22"/>
        <v>0</v>
      </c>
    </row>
    <row r="129" spans="2:34">
      <c r="B129" s="1687"/>
      <c r="C129" s="1687"/>
      <c r="D129" s="1687"/>
      <c r="E129" s="2152"/>
      <c r="F129" s="1326"/>
      <c r="G129" s="1327"/>
      <c r="H129" s="1326"/>
      <c r="I129" s="1327"/>
      <c r="J129" s="1687"/>
      <c r="K129" s="1687"/>
      <c r="L129" s="1687"/>
      <c r="M129" s="1328"/>
      <c r="N129" s="1328"/>
      <c r="O129" s="1687"/>
      <c r="P129" s="1687"/>
      <c r="Q129" s="1687"/>
      <c r="R129" s="1326"/>
      <c r="S129" s="1327"/>
      <c r="T129" s="1326"/>
      <c r="U129" s="1326"/>
      <c r="V129" s="1329">
        <f t="shared" si="41"/>
        <v>0</v>
      </c>
      <c r="W129" s="1329">
        <f t="shared" si="42"/>
        <v>0</v>
      </c>
      <c r="X129" s="1329">
        <f t="shared" si="43"/>
        <v>0</v>
      </c>
      <c r="Y129" s="1329">
        <f t="shared" si="44"/>
        <v>0</v>
      </c>
      <c r="Z129" s="1329">
        <f t="shared" si="45"/>
        <v>0</v>
      </c>
      <c r="AA129" s="1329">
        <f t="shared" si="46"/>
        <v>0</v>
      </c>
      <c r="AB129" s="1329"/>
      <c r="AC129" s="1329">
        <f t="shared" si="47"/>
        <v>0</v>
      </c>
      <c r="AD129" s="1329"/>
      <c r="AE129" s="1329">
        <f t="shared" si="48"/>
        <v>0</v>
      </c>
      <c r="AF129" s="1329">
        <f t="shared" si="49"/>
        <v>0</v>
      </c>
      <c r="AG129" s="1330">
        <f t="shared" si="21"/>
        <v>0</v>
      </c>
      <c r="AH129" s="1330">
        <f t="shared" si="22"/>
        <v>0</v>
      </c>
    </row>
    <row r="130" spans="2:34">
      <c r="B130" s="1687"/>
      <c r="C130" s="1687"/>
      <c r="D130" s="1687"/>
      <c r="E130" s="2152"/>
      <c r="F130" s="1326"/>
      <c r="G130" s="1327"/>
      <c r="H130" s="1326"/>
      <c r="I130" s="1327"/>
      <c r="J130" s="1687"/>
      <c r="K130" s="1687"/>
      <c r="L130" s="1687"/>
      <c r="M130" s="1328"/>
      <c r="N130" s="1328"/>
      <c r="O130" s="1687"/>
      <c r="P130" s="1687"/>
      <c r="Q130" s="1687"/>
      <c r="R130" s="1326"/>
      <c r="S130" s="1327"/>
      <c r="T130" s="1326"/>
      <c r="U130" s="1326"/>
      <c r="V130" s="1329">
        <f t="shared" si="41"/>
        <v>0</v>
      </c>
      <c r="W130" s="1329">
        <f t="shared" si="42"/>
        <v>0</v>
      </c>
      <c r="X130" s="1329">
        <f t="shared" si="43"/>
        <v>0</v>
      </c>
      <c r="Y130" s="1329">
        <f t="shared" si="44"/>
        <v>0</v>
      </c>
      <c r="Z130" s="1329">
        <f t="shared" si="45"/>
        <v>0</v>
      </c>
      <c r="AA130" s="1329">
        <f t="shared" si="46"/>
        <v>0</v>
      </c>
      <c r="AB130" s="1329"/>
      <c r="AC130" s="1329">
        <f t="shared" si="47"/>
        <v>0</v>
      </c>
      <c r="AD130" s="1329"/>
      <c r="AE130" s="1329">
        <f t="shared" si="48"/>
        <v>0</v>
      </c>
      <c r="AF130" s="1329">
        <f t="shared" si="49"/>
        <v>0</v>
      </c>
      <c r="AG130" s="1330">
        <f t="shared" si="21"/>
        <v>0</v>
      </c>
      <c r="AH130" s="1330">
        <f t="shared" si="22"/>
        <v>0</v>
      </c>
    </row>
    <row r="131" spans="2:34">
      <c r="B131" s="1687"/>
      <c r="C131" s="1687"/>
      <c r="D131" s="1687"/>
      <c r="E131" s="2152"/>
      <c r="F131" s="1326"/>
      <c r="G131" s="1327"/>
      <c r="H131" s="1326"/>
      <c r="I131" s="1327"/>
      <c r="J131" s="1687"/>
      <c r="K131" s="1687"/>
      <c r="L131" s="1687"/>
      <c r="M131" s="1328"/>
      <c r="N131" s="1328"/>
      <c r="O131" s="1687"/>
      <c r="P131" s="1687"/>
      <c r="Q131" s="1687"/>
      <c r="R131" s="1326"/>
      <c r="S131" s="1327"/>
      <c r="T131" s="1326"/>
      <c r="U131" s="1326"/>
      <c r="V131" s="1329">
        <f t="shared" si="41"/>
        <v>0</v>
      </c>
      <c r="W131" s="1329">
        <f t="shared" si="42"/>
        <v>0</v>
      </c>
      <c r="X131" s="1329">
        <f t="shared" si="43"/>
        <v>0</v>
      </c>
      <c r="Y131" s="1329">
        <f t="shared" si="44"/>
        <v>0</v>
      </c>
      <c r="Z131" s="1329">
        <f t="shared" si="45"/>
        <v>0</v>
      </c>
      <c r="AA131" s="1329">
        <f t="shared" si="46"/>
        <v>0</v>
      </c>
      <c r="AB131" s="1329"/>
      <c r="AC131" s="1329">
        <f t="shared" si="47"/>
        <v>0</v>
      </c>
      <c r="AD131" s="1329"/>
      <c r="AE131" s="1329">
        <f t="shared" si="48"/>
        <v>0</v>
      </c>
      <c r="AF131" s="1329">
        <f t="shared" si="49"/>
        <v>0</v>
      </c>
      <c r="AG131" s="1330">
        <f t="shared" si="21"/>
        <v>0</v>
      </c>
      <c r="AH131" s="1330">
        <f t="shared" si="22"/>
        <v>0</v>
      </c>
    </row>
    <row r="132" spans="2:34">
      <c r="B132" s="1687"/>
      <c r="C132" s="1687"/>
      <c r="D132" s="1687"/>
      <c r="E132" s="2152"/>
      <c r="F132" s="1326"/>
      <c r="G132" s="1327"/>
      <c r="H132" s="1326"/>
      <c r="I132" s="1327"/>
      <c r="J132" s="1687"/>
      <c r="K132" s="1687"/>
      <c r="L132" s="1687"/>
      <c r="M132" s="1328"/>
      <c r="N132" s="1328"/>
      <c r="O132" s="1687"/>
      <c r="P132" s="1687"/>
      <c r="Q132" s="1687"/>
      <c r="R132" s="1326"/>
      <c r="S132" s="1327"/>
      <c r="T132" s="1326"/>
      <c r="U132" s="1326"/>
      <c r="V132" s="1329">
        <f t="shared" si="41"/>
        <v>0</v>
      </c>
      <c r="W132" s="1329">
        <f t="shared" si="42"/>
        <v>0</v>
      </c>
      <c r="X132" s="1329">
        <f t="shared" si="43"/>
        <v>0</v>
      </c>
      <c r="Y132" s="1329">
        <f t="shared" si="44"/>
        <v>0</v>
      </c>
      <c r="Z132" s="1329">
        <f t="shared" si="45"/>
        <v>0</v>
      </c>
      <c r="AA132" s="1329">
        <f t="shared" si="46"/>
        <v>0</v>
      </c>
      <c r="AB132" s="1329"/>
      <c r="AC132" s="1329">
        <f t="shared" si="47"/>
        <v>0</v>
      </c>
      <c r="AD132" s="1329"/>
      <c r="AE132" s="1329">
        <f t="shared" si="48"/>
        <v>0</v>
      </c>
      <c r="AF132" s="1329">
        <f t="shared" si="49"/>
        <v>0</v>
      </c>
      <c r="AG132" s="1330">
        <f t="shared" si="21"/>
        <v>0</v>
      </c>
      <c r="AH132" s="1330">
        <f t="shared" si="22"/>
        <v>0</v>
      </c>
    </row>
    <row r="133" spans="2:34">
      <c r="B133" s="1687"/>
      <c r="C133" s="1687"/>
      <c r="D133" s="1687"/>
      <c r="E133" s="2152"/>
      <c r="F133" s="1326"/>
      <c r="G133" s="1327"/>
      <c r="H133" s="1326"/>
      <c r="I133" s="1327"/>
      <c r="J133" s="1687"/>
      <c r="K133" s="1687"/>
      <c r="L133" s="1687"/>
      <c r="M133" s="1328"/>
      <c r="N133" s="1328"/>
      <c r="O133" s="1687"/>
      <c r="P133" s="1687"/>
      <c r="Q133" s="1687"/>
      <c r="R133" s="1326"/>
      <c r="S133" s="1327"/>
      <c r="T133" s="1326"/>
      <c r="U133" s="1326"/>
      <c r="V133" s="1329">
        <f t="shared" si="41"/>
        <v>0</v>
      </c>
      <c r="W133" s="1329">
        <f t="shared" si="42"/>
        <v>0</v>
      </c>
      <c r="X133" s="1329">
        <f t="shared" si="43"/>
        <v>0</v>
      </c>
      <c r="Y133" s="1329">
        <f t="shared" si="44"/>
        <v>0</v>
      </c>
      <c r="Z133" s="1329">
        <f t="shared" si="45"/>
        <v>0</v>
      </c>
      <c r="AA133" s="1329">
        <f t="shared" si="46"/>
        <v>0</v>
      </c>
      <c r="AB133" s="1329"/>
      <c r="AC133" s="1329">
        <f t="shared" si="47"/>
        <v>0</v>
      </c>
      <c r="AD133" s="1329"/>
      <c r="AE133" s="1329">
        <f t="shared" si="48"/>
        <v>0</v>
      </c>
      <c r="AF133" s="1329">
        <f t="shared" si="49"/>
        <v>0</v>
      </c>
      <c r="AG133" s="1330">
        <f t="shared" si="21"/>
        <v>0</v>
      </c>
      <c r="AH133" s="1330">
        <f t="shared" si="22"/>
        <v>0</v>
      </c>
    </row>
    <row r="134" spans="2:34">
      <c r="B134" s="1687"/>
      <c r="C134" s="1687"/>
      <c r="D134" s="1687"/>
      <c r="E134" s="2152"/>
      <c r="F134" s="1326"/>
      <c r="G134" s="1327"/>
      <c r="H134" s="1326"/>
      <c r="I134" s="1327"/>
      <c r="J134" s="1687"/>
      <c r="K134" s="1687"/>
      <c r="L134" s="1687"/>
      <c r="M134" s="1328"/>
      <c r="N134" s="1328"/>
      <c r="O134" s="1687"/>
      <c r="P134" s="1687"/>
      <c r="Q134" s="1687"/>
      <c r="R134" s="1326"/>
      <c r="S134" s="1327"/>
      <c r="T134" s="1326"/>
      <c r="U134" s="1326"/>
      <c r="V134" s="1329">
        <f t="shared" si="41"/>
        <v>0</v>
      </c>
      <c r="W134" s="1329">
        <f t="shared" si="42"/>
        <v>0</v>
      </c>
      <c r="X134" s="1329">
        <f t="shared" si="43"/>
        <v>0</v>
      </c>
      <c r="Y134" s="1329">
        <f t="shared" si="44"/>
        <v>0</v>
      </c>
      <c r="Z134" s="1329">
        <f t="shared" si="45"/>
        <v>0</v>
      </c>
      <c r="AA134" s="1329">
        <f t="shared" si="46"/>
        <v>0</v>
      </c>
      <c r="AB134" s="1329"/>
      <c r="AC134" s="1329">
        <f t="shared" si="47"/>
        <v>0</v>
      </c>
      <c r="AD134" s="1329"/>
      <c r="AE134" s="1329">
        <f t="shared" si="48"/>
        <v>0</v>
      </c>
      <c r="AF134" s="1329">
        <f t="shared" si="49"/>
        <v>0</v>
      </c>
      <c r="AG134" s="1330">
        <f t="shared" si="21"/>
        <v>0</v>
      </c>
      <c r="AH134" s="1330">
        <f t="shared" si="22"/>
        <v>0</v>
      </c>
    </row>
    <row r="135" spans="2:34">
      <c r="B135" s="1687"/>
      <c r="C135" s="1687"/>
      <c r="D135" s="1687"/>
      <c r="E135" s="2152"/>
      <c r="F135" s="1326"/>
      <c r="G135" s="1327"/>
      <c r="H135" s="1326"/>
      <c r="I135" s="1327"/>
      <c r="J135" s="1687"/>
      <c r="K135" s="1687"/>
      <c r="L135" s="1687"/>
      <c r="M135" s="1328"/>
      <c r="N135" s="1328"/>
      <c r="O135" s="1687"/>
      <c r="P135" s="1687"/>
      <c r="Q135" s="1687"/>
      <c r="R135" s="1326"/>
      <c r="S135" s="1327"/>
      <c r="T135" s="1326"/>
      <c r="U135" s="1326"/>
      <c r="V135" s="1329">
        <f t="shared" si="41"/>
        <v>0</v>
      </c>
      <c r="W135" s="1329">
        <f t="shared" si="42"/>
        <v>0</v>
      </c>
      <c r="X135" s="1329">
        <f t="shared" si="43"/>
        <v>0</v>
      </c>
      <c r="Y135" s="1329">
        <f t="shared" si="44"/>
        <v>0</v>
      </c>
      <c r="Z135" s="1329">
        <f t="shared" si="45"/>
        <v>0</v>
      </c>
      <c r="AA135" s="1329">
        <f t="shared" si="46"/>
        <v>0</v>
      </c>
      <c r="AB135" s="1329"/>
      <c r="AC135" s="1329">
        <f t="shared" si="47"/>
        <v>0</v>
      </c>
      <c r="AD135" s="1329"/>
      <c r="AE135" s="1329">
        <f t="shared" si="48"/>
        <v>0</v>
      </c>
      <c r="AF135" s="1329">
        <f t="shared" si="49"/>
        <v>0</v>
      </c>
      <c r="AG135" s="1330">
        <f t="shared" si="21"/>
        <v>0</v>
      </c>
      <c r="AH135" s="1330">
        <f t="shared" si="22"/>
        <v>0</v>
      </c>
    </row>
    <row r="136" spans="2:34">
      <c r="B136" s="1687"/>
      <c r="C136" s="1687"/>
      <c r="D136" s="1687"/>
      <c r="E136" s="2152"/>
      <c r="F136" s="1326"/>
      <c r="G136" s="1327"/>
      <c r="H136" s="1326"/>
      <c r="I136" s="1327"/>
      <c r="J136" s="1687"/>
      <c r="K136" s="1687"/>
      <c r="L136" s="1687"/>
      <c r="M136" s="1328"/>
      <c r="N136" s="1328"/>
      <c r="O136" s="1687"/>
      <c r="P136" s="1687"/>
      <c r="Q136" s="1687"/>
      <c r="R136" s="1326"/>
      <c r="S136" s="1327"/>
      <c r="T136" s="1326"/>
      <c r="U136" s="1326"/>
      <c r="V136" s="1329">
        <f t="shared" si="41"/>
        <v>0</v>
      </c>
      <c r="W136" s="1329">
        <f t="shared" si="42"/>
        <v>0</v>
      </c>
      <c r="X136" s="1329">
        <f t="shared" si="43"/>
        <v>0</v>
      </c>
      <c r="Y136" s="1329">
        <f t="shared" si="44"/>
        <v>0</v>
      </c>
      <c r="Z136" s="1329">
        <f t="shared" si="45"/>
        <v>0</v>
      </c>
      <c r="AA136" s="1329">
        <f t="shared" si="46"/>
        <v>0</v>
      </c>
      <c r="AB136" s="1329"/>
      <c r="AC136" s="1329">
        <f t="shared" si="47"/>
        <v>0</v>
      </c>
      <c r="AD136" s="1329"/>
      <c r="AE136" s="1329">
        <f t="shared" si="48"/>
        <v>0</v>
      </c>
      <c r="AF136" s="1329">
        <f t="shared" si="49"/>
        <v>0</v>
      </c>
      <c r="AG136" s="1330">
        <f t="shared" si="21"/>
        <v>0</v>
      </c>
      <c r="AH136" s="1330">
        <f t="shared" si="22"/>
        <v>0</v>
      </c>
    </row>
    <row r="137" spans="2:34">
      <c r="B137" s="1687"/>
      <c r="C137" s="1687"/>
      <c r="D137" s="1687"/>
      <c r="E137" s="2152"/>
      <c r="F137" s="1326"/>
      <c r="G137" s="1327"/>
      <c r="H137" s="1326"/>
      <c r="I137" s="1327"/>
      <c r="J137" s="1687"/>
      <c r="K137" s="1687"/>
      <c r="L137" s="1687"/>
      <c r="M137" s="1328"/>
      <c r="N137" s="1328"/>
      <c r="O137" s="1687"/>
      <c r="P137" s="1687"/>
      <c r="Q137" s="1687"/>
      <c r="R137" s="1326"/>
      <c r="S137" s="1327"/>
      <c r="T137" s="1326"/>
      <c r="U137" s="1326"/>
      <c r="V137" s="1329">
        <f t="shared" si="41"/>
        <v>0</v>
      </c>
      <c r="W137" s="1329">
        <f t="shared" si="42"/>
        <v>0</v>
      </c>
      <c r="X137" s="1329">
        <f t="shared" si="43"/>
        <v>0</v>
      </c>
      <c r="Y137" s="1329">
        <f t="shared" si="44"/>
        <v>0</v>
      </c>
      <c r="Z137" s="1329">
        <f t="shared" si="45"/>
        <v>0</v>
      </c>
      <c r="AA137" s="1329">
        <f t="shared" si="46"/>
        <v>0</v>
      </c>
      <c r="AB137" s="1329"/>
      <c r="AC137" s="1329">
        <f t="shared" si="47"/>
        <v>0</v>
      </c>
      <c r="AD137" s="1329"/>
      <c r="AE137" s="1329">
        <f t="shared" si="48"/>
        <v>0</v>
      </c>
      <c r="AF137" s="1329">
        <f t="shared" si="49"/>
        <v>0</v>
      </c>
      <c r="AG137" s="1330">
        <f t="shared" si="21"/>
        <v>0</v>
      </c>
      <c r="AH137" s="1330">
        <f t="shared" si="22"/>
        <v>0</v>
      </c>
    </row>
    <row r="138" spans="2:34">
      <c r="B138" s="1687"/>
      <c r="C138" s="1687"/>
      <c r="D138" s="1687"/>
      <c r="E138" s="2152"/>
      <c r="F138" s="1326"/>
      <c r="G138" s="1327"/>
      <c r="H138" s="1326"/>
      <c r="I138" s="1327"/>
      <c r="J138" s="1687"/>
      <c r="K138" s="1687"/>
      <c r="L138" s="1687"/>
      <c r="M138" s="1328"/>
      <c r="N138" s="1328"/>
      <c r="O138" s="1687"/>
      <c r="P138" s="1687"/>
      <c r="Q138" s="1687"/>
      <c r="R138" s="1326"/>
      <c r="S138" s="1327"/>
      <c r="T138" s="1326"/>
      <c r="U138" s="1326"/>
      <c r="V138" s="1329">
        <f t="shared" si="41"/>
        <v>0</v>
      </c>
      <c r="W138" s="1329">
        <f t="shared" si="42"/>
        <v>0</v>
      </c>
      <c r="X138" s="1329">
        <f t="shared" si="43"/>
        <v>0</v>
      </c>
      <c r="Y138" s="1329">
        <f t="shared" si="44"/>
        <v>0</v>
      </c>
      <c r="Z138" s="1329">
        <f t="shared" si="45"/>
        <v>0</v>
      </c>
      <c r="AA138" s="1329">
        <f t="shared" si="46"/>
        <v>0</v>
      </c>
      <c r="AB138" s="1329"/>
      <c r="AC138" s="1329">
        <f t="shared" si="47"/>
        <v>0</v>
      </c>
      <c r="AD138" s="1329"/>
      <c r="AE138" s="1329">
        <f t="shared" si="48"/>
        <v>0</v>
      </c>
      <c r="AF138" s="1329">
        <f t="shared" si="49"/>
        <v>0</v>
      </c>
      <c r="AG138" s="1330">
        <f t="shared" si="21"/>
        <v>0</v>
      </c>
      <c r="AH138" s="1330">
        <f t="shared" si="22"/>
        <v>0</v>
      </c>
    </row>
    <row r="139" spans="2:34">
      <c r="B139" s="1687"/>
      <c r="C139" s="1687"/>
      <c r="D139" s="1687"/>
      <c r="E139" s="2152"/>
      <c r="F139" s="1326"/>
      <c r="G139" s="1327"/>
      <c r="H139" s="1326"/>
      <c r="I139" s="1327"/>
      <c r="J139" s="1687"/>
      <c r="K139" s="1687"/>
      <c r="L139" s="1687"/>
      <c r="M139" s="1328"/>
      <c r="N139" s="1328"/>
      <c r="O139" s="1687"/>
      <c r="P139" s="1687"/>
      <c r="Q139" s="1687"/>
      <c r="R139" s="1326"/>
      <c r="S139" s="1327"/>
      <c r="T139" s="1326"/>
      <c r="U139" s="1326"/>
      <c r="V139" s="1329">
        <f t="shared" si="41"/>
        <v>0</v>
      </c>
      <c r="W139" s="1329">
        <f t="shared" si="42"/>
        <v>0</v>
      </c>
      <c r="X139" s="1329">
        <f t="shared" si="43"/>
        <v>0</v>
      </c>
      <c r="Y139" s="1329">
        <f t="shared" si="44"/>
        <v>0</v>
      </c>
      <c r="Z139" s="1329">
        <f t="shared" si="45"/>
        <v>0</v>
      </c>
      <c r="AA139" s="1329">
        <f t="shared" si="46"/>
        <v>0</v>
      </c>
      <c r="AB139" s="1329"/>
      <c r="AC139" s="1329">
        <f t="shared" si="47"/>
        <v>0</v>
      </c>
      <c r="AD139" s="1329"/>
      <c r="AE139" s="1329">
        <f t="shared" si="48"/>
        <v>0</v>
      </c>
      <c r="AF139" s="1329">
        <f t="shared" si="49"/>
        <v>0</v>
      </c>
      <c r="AG139" s="1330">
        <f t="shared" ref="AG139:AG202" si="50">IF(($M139*100)&gt;100,"C110 Invalid value greater than 100",IF(($M139*100)&lt;&gt;ROUND(($M139*100),2),($M139*100)&amp;": C110 Invalid no. of decimals",0))</f>
        <v>0</v>
      </c>
      <c r="AH139" s="1330">
        <f t="shared" ref="AH139:AH202" si="51">IF(($N139*100)&gt;100,"C120 Invalid value greater than 100",IF(($N139*100)&lt;&gt;ROUND(($N139*100),2),($N139*100)&amp;": C120 Invalid no. of decimals",0))</f>
        <v>0</v>
      </c>
    </row>
    <row r="140" spans="2:34">
      <c r="B140" s="1687"/>
      <c r="C140" s="1687"/>
      <c r="D140" s="1687"/>
      <c r="E140" s="2152"/>
      <c r="F140" s="1326"/>
      <c r="G140" s="1327"/>
      <c r="H140" s="1326"/>
      <c r="I140" s="1327"/>
      <c r="J140" s="1687"/>
      <c r="K140" s="1687"/>
      <c r="L140" s="1687"/>
      <c r="M140" s="1328"/>
      <c r="N140" s="1328"/>
      <c r="O140" s="1687"/>
      <c r="P140" s="1687"/>
      <c r="Q140" s="1687"/>
      <c r="R140" s="1326"/>
      <c r="S140" s="1327"/>
      <c r="T140" s="1326"/>
      <c r="U140" s="1326"/>
      <c r="V140" s="1329">
        <f t="shared" si="41"/>
        <v>0</v>
      </c>
      <c r="W140" s="1329">
        <f t="shared" si="42"/>
        <v>0</v>
      </c>
      <c r="X140" s="1329">
        <f t="shared" si="43"/>
        <v>0</v>
      </c>
      <c r="Y140" s="1329">
        <f t="shared" si="44"/>
        <v>0</v>
      </c>
      <c r="Z140" s="1329">
        <f t="shared" si="45"/>
        <v>0</v>
      </c>
      <c r="AA140" s="1329">
        <f t="shared" si="46"/>
        <v>0</v>
      </c>
      <c r="AB140" s="1329"/>
      <c r="AC140" s="1329">
        <f t="shared" si="47"/>
        <v>0</v>
      </c>
      <c r="AD140" s="1329"/>
      <c r="AE140" s="1329">
        <f t="shared" si="48"/>
        <v>0</v>
      </c>
      <c r="AF140" s="1329">
        <f t="shared" si="49"/>
        <v>0</v>
      </c>
      <c r="AG140" s="1330">
        <f t="shared" si="50"/>
        <v>0</v>
      </c>
      <c r="AH140" s="1330">
        <f t="shared" si="51"/>
        <v>0</v>
      </c>
    </row>
    <row r="141" spans="2:34">
      <c r="B141" s="1687"/>
      <c r="C141" s="1687"/>
      <c r="D141" s="1687"/>
      <c r="E141" s="2152"/>
      <c r="F141" s="1326"/>
      <c r="G141" s="1327"/>
      <c r="H141" s="1326"/>
      <c r="I141" s="1327"/>
      <c r="J141" s="1687"/>
      <c r="K141" s="1687"/>
      <c r="L141" s="1687"/>
      <c r="M141" s="1328"/>
      <c r="N141" s="1328"/>
      <c r="O141" s="1687"/>
      <c r="P141" s="1687"/>
      <c r="Q141" s="1687"/>
      <c r="R141" s="1326"/>
      <c r="S141" s="1327"/>
      <c r="T141" s="1326"/>
      <c r="U141" s="1326"/>
      <c r="V141" s="1329">
        <f t="shared" si="41"/>
        <v>0</v>
      </c>
      <c r="W141" s="1329">
        <f t="shared" si="42"/>
        <v>0</v>
      </c>
      <c r="X141" s="1329">
        <f t="shared" si="43"/>
        <v>0</v>
      </c>
      <c r="Y141" s="1329">
        <f t="shared" si="44"/>
        <v>0</v>
      </c>
      <c r="Z141" s="1329">
        <f t="shared" si="45"/>
        <v>0</v>
      </c>
      <c r="AA141" s="1329">
        <f t="shared" si="46"/>
        <v>0</v>
      </c>
      <c r="AB141" s="1329"/>
      <c r="AC141" s="1329">
        <f t="shared" si="47"/>
        <v>0</v>
      </c>
      <c r="AD141" s="1329"/>
      <c r="AE141" s="1329">
        <f t="shared" si="48"/>
        <v>0</v>
      </c>
      <c r="AF141" s="1329">
        <f t="shared" si="49"/>
        <v>0</v>
      </c>
      <c r="AG141" s="1330">
        <f t="shared" si="50"/>
        <v>0</v>
      </c>
      <c r="AH141" s="1330">
        <f t="shared" si="51"/>
        <v>0</v>
      </c>
    </row>
    <row r="142" spans="2:34">
      <c r="B142" s="1687"/>
      <c r="C142" s="1687"/>
      <c r="D142" s="1687"/>
      <c r="E142" s="2152"/>
      <c r="F142" s="1326"/>
      <c r="G142" s="1327"/>
      <c r="H142" s="1326"/>
      <c r="I142" s="1327"/>
      <c r="J142" s="1687"/>
      <c r="K142" s="1687"/>
      <c r="L142" s="1687"/>
      <c r="M142" s="1328"/>
      <c r="N142" s="1328"/>
      <c r="O142" s="1687"/>
      <c r="P142" s="1687"/>
      <c r="Q142" s="1687"/>
      <c r="R142" s="1326"/>
      <c r="S142" s="1327"/>
      <c r="T142" s="1326"/>
      <c r="U142" s="1326"/>
      <c r="V142" s="1329">
        <f t="shared" si="41"/>
        <v>0</v>
      </c>
      <c r="W142" s="1329">
        <f t="shared" si="42"/>
        <v>0</v>
      </c>
      <c r="X142" s="1329">
        <f t="shared" si="43"/>
        <v>0</v>
      </c>
      <c r="Y142" s="1329">
        <f t="shared" si="44"/>
        <v>0</v>
      </c>
      <c r="Z142" s="1329">
        <f t="shared" si="45"/>
        <v>0</v>
      </c>
      <c r="AA142" s="1329">
        <f t="shared" si="46"/>
        <v>0</v>
      </c>
      <c r="AB142" s="1329"/>
      <c r="AC142" s="1329">
        <f t="shared" si="47"/>
        <v>0</v>
      </c>
      <c r="AD142" s="1329"/>
      <c r="AE142" s="1329">
        <f t="shared" si="48"/>
        <v>0</v>
      </c>
      <c r="AF142" s="1329">
        <f t="shared" si="49"/>
        <v>0</v>
      </c>
      <c r="AG142" s="1330">
        <f t="shared" si="50"/>
        <v>0</v>
      </c>
      <c r="AH142" s="1330">
        <f t="shared" si="51"/>
        <v>0</v>
      </c>
    </row>
    <row r="143" spans="2:34">
      <c r="B143" s="1687"/>
      <c r="C143" s="1687"/>
      <c r="D143" s="1687"/>
      <c r="E143" s="2152"/>
      <c r="F143" s="1326"/>
      <c r="G143" s="1327"/>
      <c r="H143" s="1326"/>
      <c r="I143" s="1327"/>
      <c r="J143" s="1687"/>
      <c r="K143" s="1687"/>
      <c r="L143" s="1687"/>
      <c r="M143" s="1328"/>
      <c r="N143" s="1328"/>
      <c r="O143" s="1687"/>
      <c r="P143" s="1687"/>
      <c r="Q143" s="1687"/>
      <c r="R143" s="1326"/>
      <c r="S143" s="1327"/>
      <c r="T143" s="1326"/>
      <c r="U143" s="1326"/>
      <c r="V143" s="1329">
        <f t="shared" si="41"/>
        <v>0</v>
      </c>
      <c r="W143" s="1329">
        <f t="shared" si="42"/>
        <v>0</v>
      </c>
      <c r="X143" s="1329">
        <f t="shared" si="43"/>
        <v>0</v>
      </c>
      <c r="Y143" s="1329">
        <f t="shared" si="44"/>
        <v>0</v>
      </c>
      <c r="Z143" s="1329">
        <f t="shared" si="45"/>
        <v>0</v>
      </c>
      <c r="AA143" s="1329">
        <f t="shared" si="46"/>
        <v>0</v>
      </c>
      <c r="AB143" s="1329"/>
      <c r="AC143" s="1329">
        <f t="shared" si="47"/>
        <v>0</v>
      </c>
      <c r="AD143" s="1329"/>
      <c r="AE143" s="1329">
        <f t="shared" si="48"/>
        <v>0</v>
      </c>
      <c r="AF143" s="1329">
        <f t="shared" si="49"/>
        <v>0</v>
      </c>
      <c r="AG143" s="1330">
        <f t="shared" si="50"/>
        <v>0</v>
      </c>
      <c r="AH143" s="1330">
        <f t="shared" si="51"/>
        <v>0</v>
      </c>
    </row>
    <row r="144" spans="2:34">
      <c r="B144" s="1687"/>
      <c r="C144" s="1687"/>
      <c r="D144" s="1687"/>
      <c r="E144" s="2152"/>
      <c r="F144" s="1326"/>
      <c r="G144" s="1327"/>
      <c r="H144" s="1326"/>
      <c r="I144" s="1327"/>
      <c r="J144" s="1687"/>
      <c r="K144" s="1687"/>
      <c r="L144" s="1687"/>
      <c r="M144" s="1328"/>
      <c r="N144" s="1328"/>
      <c r="O144" s="1687"/>
      <c r="P144" s="1687"/>
      <c r="Q144" s="1687"/>
      <c r="R144" s="1326"/>
      <c r="S144" s="1327"/>
      <c r="T144" s="1326"/>
      <c r="U144" s="1326"/>
      <c r="V144" s="1329">
        <f t="shared" si="41"/>
        <v>0</v>
      </c>
      <c r="W144" s="1329">
        <f t="shared" si="42"/>
        <v>0</v>
      </c>
      <c r="X144" s="1329">
        <f t="shared" si="43"/>
        <v>0</v>
      </c>
      <c r="Y144" s="1329">
        <f t="shared" si="44"/>
        <v>0</v>
      </c>
      <c r="Z144" s="1329">
        <f t="shared" si="45"/>
        <v>0</v>
      </c>
      <c r="AA144" s="1329">
        <f t="shared" si="46"/>
        <v>0</v>
      </c>
      <c r="AB144" s="1329"/>
      <c r="AC144" s="1329">
        <f t="shared" si="47"/>
        <v>0</v>
      </c>
      <c r="AD144" s="1329"/>
      <c r="AE144" s="1329">
        <f t="shared" si="48"/>
        <v>0</v>
      </c>
      <c r="AF144" s="1329">
        <f t="shared" si="49"/>
        <v>0</v>
      </c>
      <c r="AG144" s="1330">
        <f t="shared" si="50"/>
        <v>0</v>
      </c>
      <c r="AH144" s="1330">
        <f t="shared" si="51"/>
        <v>0</v>
      </c>
    </row>
    <row r="145" spans="2:34">
      <c r="B145" s="1687"/>
      <c r="C145" s="1687"/>
      <c r="D145" s="1687"/>
      <c r="E145" s="2152"/>
      <c r="F145" s="1326"/>
      <c r="G145" s="1327"/>
      <c r="H145" s="1326"/>
      <c r="I145" s="1327"/>
      <c r="J145" s="1687"/>
      <c r="K145" s="1687"/>
      <c r="L145" s="1687"/>
      <c r="M145" s="1328"/>
      <c r="N145" s="1328"/>
      <c r="O145" s="1687"/>
      <c r="P145" s="1687"/>
      <c r="Q145" s="1687"/>
      <c r="R145" s="1326"/>
      <c r="S145" s="1327"/>
      <c r="T145" s="1326"/>
      <c r="U145" s="1326"/>
      <c r="V145" s="1329">
        <f t="shared" si="41"/>
        <v>0</v>
      </c>
      <c r="W145" s="1329">
        <f t="shared" si="42"/>
        <v>0</v>
      </c>
      <c r="X145" s="1329">
        <f t="shared" si="43"/>
        <v>0</v>
      </c>
      <c r="Y145" s="1329">
        <f t="shared" si="44"/>
        <v>0</v>
      </c>
      <c r="Z145" s="1329">
        <f t="shared" si="45"/>
        <v>0</v>
      </c>
      <c r="AA145" s="1329">
        <f t="shared" si="46"/>
        <v>0</v>
      </c>
      <c r="AB145" s="1329"/>
      <c r="AC145" s="1329">
        <f t="shared" si="47"/>
        <v>0</v>
      </c>
      <c r="AD145" s="1329"/>
      <c r="AE145" s="1329">
        <f t="shared" si="48"/>
        <v>0</v>
      </c>
      <c r="AF145" s="1329">
        <f t="shared" si="49"/>
        <v>0</v>
      </c>
      <c r="AG145" s="1330">
        <f t="shared" si="50"/>
        <v>0</v>
      </c>
      <c r="AH145" s="1330">
        <f t="shared" si="51"/>
        <v>0</v>
      </c>
    </row>
    <row r="146" spans="2:34">
      <c r="B146" s="1687"/>
      <c r="C146" s="1687"/>
      <c r="D146" s="1687"/>
      <c r="E146" s="2152"/>
      <c r="F146" s="1326"/>
      <c r="G146" s="1327"/>
      <c r="H146" s="1326"/>
      <c r="I146" s="1327"/>
      <c r="J146" s="1687"/>
      <c r="K146" s="1687"/>
      <c r="L146" s="1687"/>
      <c r="M146" s="1328"/>
      <c r="N146" s="1328"/>
      <c r="O146" s="1687"/>
      <c r="P146" s="1687"/>
      <c r="Q146" s="1687"/>
      <c r="R146" s="1326"/>
      <c r="S146" s="1327"/>
      <c r="T146" s="1326"/>
      <c r="U146" s="1326"/>
      <c r="V146" s="1329">
        <f t="shared" si="41"/>
        <v>0</v>
      </c>
      <c r="W146" s="1329">
        <f t="shared" si="42"/>
        <v>0</v>
      </c>
      <c r="X146" s="1329">
        <f t="shared" si="43"/>
        <v>0</v>
      </c>
      <c r="Y146" s="1329">
        <f t="shared" si="44"/>
        <v>0</v>
      </c>
      <c r="Z146" s="1329">
        <f t="shared" si="45"/>
        <v>0</v>
      </c>
      <c r="AA146" s="1329">
        <f t="shared" si="46"/>
        <v>0</v>
      </c>
      <c r="AB146" s="1329"/>
      <c r="AC146" s="1329">
        <f t="shared" si="47"/>
        <v>0</v>
      </c>
      <c r="AD146" s="1329"/>
      <c r="AE146" s="1329">
        <f t="shared" si="48"/>
        <v>0</v>
      </c>
      <c r="AF146" s="1329">
        <f t="shared" si="49"/>
        <v>0</v>
      </c>
      <c r="AG146" s="1330">
        <f t="shared" si="50"/>
        <v>0</v>
      </c>
      <c r="AH146" s="1330">
        <f t="shared" si="51"/>
        <v>0</v>
      </c>
    </row>
    <row r="147" spans="2:34">
      <c r="B147" s="1687"/>
      <c r="C147" s="1687"/>
      <c r="D147" s="1687"/>
      <c r="E147" s="2152"/>
      <c r="F147" s="1326"/>
      <c r="G147" s="1327"/>
      <c r="H147" s="1326"/>
      <c r="I147" s="1327"/>
      <c r="J147" s="1687"/>
      <c r="K147" s="1687"/>
      <c r="L147" s="1687"/>
      <c r="M147" s="1328"/>
      <c r="N147" s="1328"/>
      <c r="O147" s="1687"/>
      <c r="P147" s="1687"/>
      <c r="Q147" s="1687"/>
      <c r="R147" s="1326"/>
      <c r="S147" s="1327"/>
      <c r="T147" s="1326"/>
      <c r="U147" s="1326"/>
      <c r="V147" s="1329">
        <f t="shared" si="41"/>
        <v>0</v>
      </c>
      <c r="W147" s="1329">
        <f t="shared" si="42"/>
        <v>0</v>
      </c>
      <c r="X147" s="1329">
        <f t="shared" si="43"/>
        <v>0</v>
      </c>
      <c r="Y147" s="1329">
        <f t="shared" si="44"/>
        <v>0</v>
      </c>
      <c r="Z147" s="1329">
        <f t="shared" si="45"/>
        <v>0</v>
      </c>
      <c r="AA147" s="1329">
        <f t="shared" si="46"/>
        <v>0</v>
      </c>
      <c r="AB147" s="1329"/>
      <c r="AC147" s="1329">
        <f t="shared" si="47"/>
        <v>0</v>
      </c>
      <c r="AD147" s="1329"/>
      <c r="AE147" s="1329">
        <f t="shared" si="48"/>
        <v>0</v>
      </c>
      <c r="AF147" s="1329">
        <f t="shared" si="49"/>
        <v>0</v>
      </c>
      <c r="AG147" s="1330">
        <f t="shared" si="50"/>
        <v>0</v>
      </c>
      <c r="AH147" s="1330">
        <f t="shared" si="51"/>
        <v>0</v>
      </c>
    </row>
    <row r="148" spans="2:34">
      <c r="B148" s="1687"/>
      <c r="C148" s="1687"/>
      <c r="D148" s="1687"/>
      <c r="E148" s="2152"/>
      <c r="F148" s="1326"/>
      <c r="G148" s="1327"/>
      <c r="H148" s="1326"/>
      <c r="I148" s="1327"/>
      <c r="J148" s="1687"/>
      <c r="K148" s="1687"/>
      <c r="L148" s="1687"/>
      <c r="M148" s="1328"/>
      <c r="N148" s="1328"/>
      <c r="O148" s="1687"/>
      <c r="P148" s="1687"/>
      <c r="Q148" s="1687"/>
      <c r="R148" s="1326"/>
      <c r="S148" s="1327"/>
      <c r="T148" s="1326"/>
      <c r="U148" s="1326"/>
      <c r="V148" s="1329">
        <f t="shared" si="41"/>
        <v>0</v>
      </c>
      <c r="W148" s="1329">
        <f t="shared" si="42"/>
        <v>0</v>
      </c>
      <c r="X148" s="1329">
        <f t="shared" si="43"/>
        <v>0</v>
      </c>
      <c r="Y148" s="1329">
        <f t="shared" si="44"/>
        <v>0</v>
      </c>
      <c r="Z148" s="1329">
        <f t="shared" si="45"/>
        <v>0</v>
      </c>
      <c r="AA148" s="1329">
        <f t="shared" si="46"/>
        <v>0</v>
      </c>
      <c r="AB148" s="1329"/>
      <c r="AC148" s="1329">
        <f t="shared" si="47"/>
        <v>0</v>
      </c>
      <c r="AD148" s="1329"/>
      <c r="AE148" s="1329">
        <f t="shared" si="48"/>
        <v>0</v>
      </c>
      <c r="AF148" s="1329">
        <f t="shared" si="49"/>
        <v>0</v>
      </c>
      <c r="AG148" s="1330">
        <f t="shared" si="50"/>
        <v>0</v>
      </c>
      <c r="AH148" s="1330">
        <f t="shared" si="51"/>
        <v>0</v>
      </c>
    </row>
    <row r="149" spans="2:34">
      <c r="B149" s="1687"/>
      <c r="C149" s="1687"/>
      <c r="D149" s="1687"/>
      <c r="E149" s="2152"/>
      <c r="F149" s="1326"/>
      <c r="G149" s="1327"/>
      <c r="H149" s="1326"/>
      <c r="I149" s="1327"/>
      <c r="J149" s="1687"/>
      <c r="K149" s="1687"/>
      <c r="L149" s="1687"/>
      <c r="M149" s="1328"/>
      <c r="N149" s="1328"/>
      <c r="O149" s="1687"/>
      <c r="P149" s="1687"/>
      <c r="Q149" s="1687"/>
      <c r="R149" s="1326"/>
      <c r="S149" s="1327"/>
      <c r="T149" s="1326"/>
      <c r="U149" s="1326"/>
      <c r="V149" s="1329">
        <f t="shared" si="41"/>
        <v>0</v>
      </c>
      <c r="W149" s="1329">
        <f t="shared" si="42"/>
        <v>0</v>
      </c>
      <c r="X149" s="1329">
        <f t="shared" si="43"/>
        <v>0</v>
      </c>
      <c r="Y149" s="1329">
        <f t="shared" si="44"/>
        <v>0</v>
      </c>
      <c r="Z149" s="1329">
        <f t="shared" si="45"/>
        <v>0</v>
      </c>
      <c r="AA149" s="1329">
        <f t="shared" si="46"/>
        <v>0</v>
      </c>
      <c r="AB149" s="1329"/>
      <c r="AC149" s="1329">
        <f t="shared" si="47"/>
        <v>0</v>
      </c>
      <c r="AD149" s="1329"/>
      <c r="AE149" s="1329">
        <f t="shared" si="48"/>
        <v>0</v>
      </c>
      <c r="AF149" s="1329">
        <f t="shared" si="49"/>
        <v>0</v>
      </c>
      <c r="AG149" s="1330">
        <f t="shared" si="50"/>
        <v>0</v>
      </c>
      <c r="AH149" s="1330">
        <f t="shared" si="51"/>
        <v>0</v>
      </c>
    </row>
    <row r="150" spans="2:34">
      <c r="B150" s="1687"/>
      <c r="C150" s="1687"/>
      <c r="D150" s="1687"/>
      <c r="E150" s="2152"/>
      <c r="F150" s="1326"/>
      <c r="G150" s="1327"/>
      <c r="H150" s="1326"/>
      <c r="I150" s="1327"/>
      <c r="J150" s="1687"/>
      <c r="K150" s="1687"/>
      <c r="L150" s="1687"/>
      <c r="M150" s="1328"/>
      <c r="N150" s="1328"/>
      <c r="O150" s="1687"/>
      <c r="P150" s="1687"/>
      <c r="Q150" s="1687"/>
      <c r="R150" s="1326"/>
      <c r="S150" s="1327"/>
      <c r="T150" s="1326"/>
      <c r="U150" s="1326"/>
      <c r="V150" s="1329">
        <f t="shared" si="41"/>
        <v>0</v>
      </c>
      <c r="W150" s="1329">
        <f t="shared" si="42"/>
        <v>0</v>
      </c>
      <c r="X150" s="1329">
        <f t="shared" si="43"/>
        <v>0</v>
      </c>
      <c r="Y150" s="1329">
        <f t="shared" si="44"/>
        <v>0</v>
      </c>
      <c r="Z150" s="1329">
        <f t="shared" si="45"/>
        <v>0</v>
      </c>
      <c r="AA150" s="1329">
        <f t="shared" si="46"/>
        <v>0</v>
      </c>
      <c r="AB150" s="1329"/>
      <c r="AC150" s="1329">
        <f t="shared" si="47"/>
        <v>0</v>
      </c>
      <c r="AD150" s="1329"/>
      <c r="AE150" s="1329">
        <f t="shared" si="48"/>
        <v>0</v>
      </c>
      <c r="AF150" s="1329">
        <f t="shared" si="49"/>
        <v>0</v>
      </c>
      <c r="AG150" s="1330">
        <f t="shared" si="50"/>
        <v>0</v>
      </c>
      <c r="AH150" s="1330">
        <f t="shared" si="51"/>
        <v>0</v>
      </c>
    </row>
    <row r="151" spans="2:34">
      <c r="B151" s="1687"/>
      <c r="C151" s="1687"/>
      <c r="D151" s="1687"/>
      <c r="E151" s="2152"/>
      <c r="F151" s="1326"/>
      <c r="G151" s="1327"/>
      <c r="H151" s="1326"/>
      <c r="I151" s="1327"/>
      <c r="J151" s="1687"/>
      <c r="K151" s="1687"/>
      <c r="L151" s="1687"/>
      <c r="M151" s="1328"/>
      <c r="N151" s="1328"/>
      <c r="O151" s="1687"/>
      <c r="P151" s="1687"/>
      <c r="Q151" s="1687"/>
      <c r="R151" s="1326"/>
      <c r="S151" s="1327"/>
      <c r="T151" s="1326"/>
      <c r="U151" s="1326"/>
      <c r="V151" s="1329">
        <f t="shared" si="41"/>
        <v>0</v>
      </c>
      <c r="W151" s="1329">
        <f t="shared" si="42"/>
        <v>0</v>
      </c>
      <c r="X151" s="1329">
        <f t="shared" si="43"/>
        <v>0</v>
      </c>
      <c r="Y151" s="1329">
        <f t="shared" si="44"/>
        <v>0</v>
      </c>
      <c r="Z151" s="1329">
        <f t="shared" si="45"/>
        <v>0</v>
      </c>
      <c r="AA151" s="1329">
        <f t="shared" si="46"/>
        <v>0</v>
      </c>
      <c r="AB151" s="1329"/>
      <c r="AC151" s="1329">
        <f t="shared" si="47"/>
        <v>0</v>
      </c>
      <c r="AD151" s="1329"/>
      <c r="AE151" s="1329">
        <f t="shared" si="48"/>
        <v>0</v>
      </c>
      <c r="AF151" s="1329">
        <f t="shared" si="49"/>
        <v>0</v>
      </c>
      <c r="AG151" s="1330">
        <f t="shared" si="50"/>
        <v>0</v>
      </c>
      <c r="AH151" s="1330">
        <f t="shared" si="51"/>
        <v>0</v>
      </c>
    </row>
    <row r="152" spans="2:34">
      <c r="B152" s="1687"/>
      <c r="C152" s="1687"/>
      <c r="D152" s="1687"/>
      <c r="E152" s="2152"/>
      <c r="F152" s="1326"/>
      <c r="G152" s="1327"/>
      <c r="H152" s="1326"/>
      <c r="I152" s="1327"/>
      <c r="J152" s="1687"/>
      <c r="K152" s="1687"/>
      <c r="L152" s="1687"/>
      <c r="M152" s="1328"/>
      <c r="N152" s="1328"/>
      <c r="O152" s="1687"/>
      <c r="P152" s="1687"/>
      <c r="Q152" s="1687"/>
      <c r="R152" s="1326"/>
      <c r="S152" s="1327"/>
      <c r="T152" s="1326"/>
      <c r="U152" s="1326"/>
      <c r="V152" s="1329">
        <f t="shared" si="41"/>
        <v>0</v>
      </c>
      <c r="W152" s="1329">
        <f t="shared" si="42"/>
        <v>0</v>
      </c>
      <c r="X152" s="1329">
        <f t="shared" si="43"/>
        <v>0</v>
      </c>
      <c r="Y152" s="1329">
        <f t="shared" si="44"/>
        <v>0</v>
      </c>
      <c r="Z152" s="1329">
        <f t="shared" si="45"/>
        <v>0</v>
      </c>
      <c r="AA152" s="1329">
        <f t="shared" si="46"/>
        <v>0</v>
      </c>
      <c r="AB152" s="1329"/>
      <c r="AC152" s="1329">
        <f t="shared" si="47"/>
        <v>0</v>
      </c>
      <c r="AD152" s="1329"/>
      <c r="AE152" s="1329">
        <f t="shared" si="48"/>
        <v>0</v>
      </c>
      <c r="AF152" s="1329">
        <f t="shared" si="49"/>
        <v>0</v>
      </c>
      <c r="AG152" s="1330">
        <f t="shared" si="50"/>
        <v>0</v>
      </c>
      <c r="AH152" s="1330">
        <f t="shared" si="51"/>
        <v>0</v>
      </c>
    </row>
    <row r="153" spans="2:34">
      <c r="B153" s="1687"/>
      <c r="C153" s="1687"/>
      <c r="D153" s="1687"/>
      <c r="E153" s="2152"/>
      <c r="F153" s="1326"/>
      <c r="G153" s="1327"/>
      <c r="H153" s="1326"/>
      <c r="I153" s="1327"/>
      <c r="J153" s="1687"/>
      <c r="K153" s="1687"/>
      <c r="L153" s="1687"/>
      <c r="M153" s="1328"/>
      <c r="N153" s="1328"/>
      <c r="O153" s="1687"/>
      <c r="P153" s="1687"/>
      <c r="Q153" s="1687"/>
      <c r="R153" s="1326"/>
      <c r="S153" s="1327"/>
      <c r="T153" s="1326"/>
      <c r="U153" s="1326"/>
      <c r="V153" s="1329">
        <f t="shared" si="41"/>
        <v>0</v>
      </c>
      <c r="W153" s="1329">
        <f t="shared" si="42"/>
        <v>0</v>
      </c>
      <c r="X153" s="1329">
        <f t="shared" si="43"/>
        <v>0</v>
      </c>
      <c r="Y153" s="1329">
        <f t="shared" si="44"/>
        <v>0</v>
      </c>
      <c r="Z153" s="1329">
        <f t="shared" si="45"/>
        <v>0</v>
      </c>
      <c r="AA153" s="1329">
        <f t="shared" si="46"/>
        <v>0</v>
      </c>
      <c r="AB153" s="1329"/>
      <c r="AC153" s="1329">
        <f t="shared" si="47"/>
        <v>0</v>
      </c>
      <c r="AD153" s="1329"/>
      <c r="AE153" s="1329">
        <f t="shared" si="48"/>
        <v>0</v>
      </c>
      <c r="AF153" s="1329">
        <f t="shared" si="49"/>
        <v>0</v>
      </c>
      <c r="AG153" s="1330">
        <f t="shared" si="50"/>
        <v>0</v>
      </c>
      <c r="AH153" s="1330">
        <f t="shared" si="51"/>
        <v>0</v>
      </c>
    </row>
    <row r="154" spans="2:34">
      <c r="B154" s="1687"/>
      <c r="C154" s="1687"/>
      <c r="D154" s="1687"/>
      <c r="E154" s="2152"/>
      <c r="F154" s="1326"/>
      <c r="G154" s="1327"/>
      <c r="H154" s="1326"/>
      <c r="I154" s="1327"/>
      <c r="J154" s="1687"/>
      <c r="K154" s="1687"/>
      <c r="L154" s="1687"/>
      <c r="M154" s="1328"/>
      <c r="N154" s="1328"/>
      <c r="O154" s="1687"/>
      <c r="P154" s="1687"/>
      <c r="Q154" s="1687"/>
      <c r="R154" s="1326"/>
      <c r="S154" s="1327"/>
      <c r="T154" s="1326"/>
      <c r="U154" s="1326"/>
      <c r="V154" s="1329">
        <f t="shared" si="41"/>
        <v>0</v>
      </c>
      <c r="W154" s="1329">
        <f t="shared" si="42"/>
        <v>0</v>
      </c>
      <c r="X154" s="1329">
        <f t="shared" si="43"/>
        <v>0</v>
      </c>
      <c r="Y154" s="1329">
        <f t="shared" si="44"/>
        <v>0</v>
      </c>
      <c r="Z154" s="1329">
        <f t="shared" si="45"/>
        <v>0</v>
      </c>
      <c r="AA154" s="1329">
        <f t="shared" si="46"/>
        <v>0</v>
      </c>
      <c r="AB154" s="1329"/>
      <c r="AC154" s="1329">
        <f t="shared" si="47"/>
        <v>0</v>
      </c>
      <c r="AD154" s="1329"/>
      <c r="AE154" s="1329">
        <f t="shared" si="48"/>
        <v>0</v>
      </c>
      <c r="AF154" s="1329">
        <f t="shared" si="49"/>
        <v>0</v>
      </c>
      <c r="AG154" s="1330">
        <f t="shared" si="50"/>
        <v>0</v>
      </c>
      <c r="AH154" s="1330">
        <f t="shared" si="51"/>
        <v>0</v>
      </c>
    </row>
    <row r="155" spans="2:34">
      <c r="B155" s="1687"/>
      <c r="C155" s="1687"/>
      <c r="D155" s="1687"/>
      <c r="E155" s="2152"/>
      <c r="F155" s="1326"/>
      <c r="G155" s="1327"/>
      <c r="H155" s="1326"/>
      <c r="I155" s="1327"/>
      <c r="J155" s="1687"/>
      <c r="K155" s="1687"/>
      <c r="L155" s="1687"/>
      <c r="M155" s="1328"/>
      <c r="N155" s="1328"/>
      <c r="O155" s="1687"/>
      <c r="P155" s="1687"/>
      <c r="Q155" s="1687"/>
      <c r="R155" s="1326"/>
      <c r="S155" s="1327"/>
      <c r="T155" s="1326"/>
      <c r="U155" s="1326"/>
      <c r="V155" s="1329">
        <f t="shared" si="41"/>
        <v>0</v>
      </c>
      <c r="W155" s="1329">
        <f t="shared" si="42"/>
        <v>0</v>
      </c>
      <c r="X155" s="1329">
        <f t="shared" si="43"/>
        <v>0</v>
      </c>
      <c r="Y155" s="1329">
        <f t="shared" si="44"/>
        <v>0</v>
      </c>
      <c r="Z155" s="1329">
        <f t="shared" si="45"/>
        <v>0</v>
      </c>
      <c r="AA155" s="1329">
        <f t="shared" si="46"/>
        <v>0</v>
      </c>
      <c r="AB155" s="1329"/>
      <c r="AC155" s="1329">
        <f t="shared" si="47"/>
        <v>0</v>
      </c>
      <c r="AD155" s="1329"/>
      <c r="AE155" s="1329">
        <f t="shared" si="48"/>
        <v>0</v>
      </c>
      <c r="AF155" s="1329">
        <f t="shared" si="49"/>
        <v>0</v>
      </c>
      <c r="AG155" s="1330">
        <f t="shared" si="50"/>
        <v>0</v>
      </c>
      <c r="AH155" s="1330">
        <f t="shared" si="51"/>
        <v>0</v>
      </c>
    </row>
    <row r="156" spans="2:34">
      <c r="B156" s="1687"/>
      <c r="C156" s="1687"/>
      <c r="D156" s="1687"/>
      <c r="E156" s="2152"/>
      <c r="F156" s="1326"/>
      <c r="G156" s="1327"/>
      <c r="H156" s="1326"/>
      <c r="I156" s="1327"/>
      <c r="J156" s="1687"/>
      <c r="K156" s="1687"/>
      <c r="L156" s="1687"/>
      <c r="M156" s="1328"/>
      <c r="N156" s="1328"/>
      <c r="O156" s="1687"/>
      <c r="P156" s="1687"/>
      <c r="Q156" s="1687"/>
      <c r="R156" s="1326"/>
      <c r="S156" s="1327"/>
      <c r="T156" s="1326"/>
      <c r="U156" s="1326"/>
      <c r="V156" s="1329">
        <f t="shared" si="41"/>
        <v>0</v>
      </c>
      <c r="W156" s="1329">
        <f t="shared" si="42"/>
        <v>0</v>
      </c>
      <c r="X156" s="1329">
        <f t="shared" si="43"/>
        <v>0</v>
      </c>
      <c r="Y156" s="1329">
        <f t="shared" si="44"/>
        <v>0</v>
      </c>
      <c r="Z156" s="1329">
        <f t="shared" si="45"/>
        <v>0</v>
      </c>
      <c r="AA156" s="1329">
        <f t="shared" si="46"/>
        <v>0</v>
      </c>
      <c r="AB156" s="1329"/>
      <c r="AC156" s="1329">
        <f t="shared" si="47"/>
        <v>0</v>
      </c>
      <c r="AD156" s="1329"/>
      <c r="AE156" s="1329">
        <f t="shared" si="48"/>
        <v>0</v>
      </c>
      <c r="AF156" s="1329">
        <f t="shared" si="49"/>
        <v>0</v>
      </c>
      <c r="AG156" s="1330">
        <f t="shared" si="50"/>
        <v>0</v>
      </c>
      <c r="AH156" s="1330">
        <f t="shared" si="51"/>
        <v>0</v>
      </c>
    </row>
    <row r="157" spans="2:34">
      <c r="B157" s="1687"/>
      <c r="C157" s="1687"/>
      <c r="D157" s="1687"/>
      <c r="E157" s="2152"/>
      <c r="F157" s="1326"/>
      <c r="G157" s="1327"/>
      <c r="H157" s="1326"/>
      <c r="I157" s="1327"/>
      <c r="J157" s="1687"/>
      <c r="K157" s="1687"/>
      <c r="L157" s="1687"/>
      <c r="M157" s="1328"/>
      <c r="N157" s="1328"/>
      <c r="O157" s="1687"/>
      <c r="P157" s="1687"/>
      <c r="Q157" s="1687"/>
      <c r="R157" s="1326"/>
      <c r="S157" s="1327"/>
      <c r="T157" s="1326"/>
      <c r="U157" s="1326"/>
      <c r="V157" s="1329">
        <f t="shared" si="41"/>
        <v>0</v>
      </c>
      <c r="W157" s="1329">
        <f t="shared" si="42"/>
        <v>0</v>
      </c>
      <c r="X157" s="1329">
        <f t="shared" si="43"/>
        <v>0</v>
      </c>
      <c r="Y157" s="1329">
        <f t="shared" si="44"/>
        <v>0</v>
      </c>
      <c r="Z157" s="1329">
        <f t="shared" si="45"/>
        <v>0</v>
      </c>
      <c r="AA157" s="1329">
        <f t="shared" si="46"/>
        <v>0</v>
      </c>
      <c r="AB157" s="1329"/>
      <c r="AC157" s="1329">
        <f t="shared" si="47"/>
        <v>0</v>
      </c>
      <c r="AD157" s="1329"/>
      <c r="AE157" s="1329">
        <f t="shared" si="48"/>
        <v>0</v>
      </c>
      <c r="AF157" s="1329">
        <f t="shared" si="49"/>
        <v>0</v>
      </c>
      <c r="AG157" s="1330">
        <f t="shared" si="50"/>
        <v>0</v>
      </c>
      <c r="AH157" s="1330">
        <f t="shared" si="51"/>
        <v>0</v>
      </c>
    </row>
    <row r="158" spans="2:34">
      <c r="B158" s="1687"/>
      <c r="C158" s="1687"/>
      <c r="D158" s="1687"/>
      <c r="E158" s="2152"/>
      <c r="F158" s="1326"/>
      <c r="G158" s="1327"/>
      <c r="H158" s="1326"/>
      <c r="I158" s="1327"/>
      <c r="J158" s="1687"/>
      <c r="K158" s="1687"/>
      <c r="L158" s="1687"/>
      <c r="M158" s="1328"/>
      <c r="N158" s="1328"/>
      <c r="O158" s="1687"/>
      <c r="P158" s="1687"/>
      <c r="Q158" s="1687"/>
      <c r="R158" s="1326"/>
      <c r="S158" s="1327"/>
      <c r="T158" s="1326"/>
      <c r="U158" s="1326"/>
      <c r="V158" s="1329">
        <f t="shared" si="41"/>
        <v>0</v>
      </c>
      <c r="W158" s="1329">
        <f t="shared" si="42"/>
        <v>0</v>
      </c>
      <c r="X158" s="1329">
        <f t="shared" si="43"/>
        <v>0</v>
      </c>
      <c r="Y158" s="1329">
        <f t="shared" si="44"/>
        <v>0</v>
      </c>
      <c r="Z158" s="1329">
        <f t="shared" si="45"/>
        <v>0</v>
      </c>
      <c r="AA158" s="1329">
        <f t="shared" si="46"/>
        <v>0</v>
      </c>
      <c r="AB158" s="1329"/>
      <c r="AC158" s="1329">
        <f t="shared" si="47"/>
        <v>0</v>
      </c>
      <c r="AD158" s="1329"/>
      <c r="AE158" s="1329">
        <f t="shared" si="48"/>
        <v>0</v>
      </c>
      <c r="AF158" s="1329">
        <f t="shared" si="49"/>
        <v>0</v>
      </c>
      <c r="AG158" s="1330">
        <f t="shared" si="50"/>
        <v>0</v>
      </c>
      <c r="AH158" s="1330">
        <f t="shared" si="51"/>
        <v>0</v>
      </c>
    </row>
    <row r="159" spans="2:34">
      <c r="B159" s="1687"/>
      <c r="C159" s="1687"/>
      <c r="D159" s="1687"/>
      <c r="E159" s="2152"/>
      <c r="F159" s="1326"/>
      <c r="G159" s="1327"/>
      <c r="H159" s="1326"/>
      <c r="I159" s="1327"/>
      <c r="J159" s="1687"/>
      <c r="K159" s="1687"/>
      <c r="L159" s="1687"/>
      <c r="M159" s="1328"/>
      <c r="N159" s="1328"/>
      <c r="O159" s="1687"/>
      <c r="P159" s="1687"/>
      <c r="Q159" s="1687"/>
      <c r="R159" s="1326"/>
      <c r="S159" s="1327"/>
      <c r="T159" s="1326"/>
      <c r="U159" s="1326"/>
      <c r="V159" s="1329">
        <f t="shared" si="41"/>
        <v>0</v>
      </c>
      <c r="W159" s="1329">
        <f t="shared" si="42"/>
        <v>0</v>
      </c>
      <c r="X159" s="1329">
        <f t="shared" si="43"/>
        <v>0</v>
      </c>
      <c r="Y159" s="1329">
        <f t="shared" si="44"/>
        <v>0</v>
      </c>
      <c r="Z159" s="1329">
        <f t="shared" si="45"/>
        <v>0</v>
      </c>
      <c r="AA159" s="1329">
        <f t="shared" si="46"/>
        <v>0</v>
      </c>
      <c r="AB159" s="1329"/>
      <c r="AC159" s="1329">
        <f t="shared" si="47"/>
        <v>0</v>
      </c>
      <c r="AD159" s="1329"/>
      <c r="AE159" s="1329">
        <f t="shared" si="48"/>
        <v>0</v>
      </c>
      <c r="AF159" s="1329">
        <f t="shared" si="49"/>
        <v>0</v>
      </c>
      <c r="AG159" s="1330">
        <f t="shared" si="50"/>
        <v>0</v>
      </c>
      <c r="AH159" s="1330">
        <f t="shared" si="51"/>
        <v>0</v>
      </c>
    </row>
    <row r="160" spans="2:34">
      <c r="B160" s="1687"/>
      <c r="C160" s="1687"/>
      <c r="D160" s="1687"/>
      <c r="E160" s="2152"/>
      <c r="F160" s="1326"/>
      <c r="G160" s="1327"/>
      <c r="H160" s="1326"/>
      <c r="I160" s="1327"/>
      <c r="J160" s="1687"/>
      <c r="K160" s="1687"/>
      <c r="L160" s="1687"/>
      <c r="M160" s="1328"/>
      <c r="N160" s="1328"/>
      <c r="O160" s="1687"/>
      <c r="P160" s="1687"/>
      <c r="Q160" s="1687"/>
      <c r="R160" s="1326"/>
      <c r="S160" s="1327"/>
      <c r="T160" s="1326"/>
      <c r="U160" s="1326"/>
      <c r="V160" s="1329">
        <f t="shared" si="41"/>
        <v>0</v>
      </c>
      <c r="W160" s="1329">
        <f t="shared" si="42"/>
        <v>0</v>
      </c>
      <c r="X160" s="1329">
        <f t="shared" si="43"/>
        <v>0</v>
      </c>
      <c r="Y160" s="1329">
        <f t="shared" si="44"/>
        <v>0</v>
      </c>
      <c r="Z160" s="1329">
        <f t="shared" si="45"/>
        <v>0</v>
      </c>
      <c r="AA160" s="1329">
        <f t="shared" si="46"/>
        <v>0</v>
      </c>
      <c r="AB160" s="1329"/>
      <c r="AC160" s="1329">
        <f t="shared" si="47"/>
        <v>0</v>
      </c>
      <c r="AD160" s="1329"/>
      <c r="AE160" s="1329">
        <f t="shared" si="48"/>
        <v>0</v>
      </c>
      <c r="AF160" s="1329">
        <f t="shared" si="49"/>
        <v>0</v>
      </c>
      <c r="AG160" s="1330">
        <f t="shared" si="50"/>
        <v>0</v>
      </c>
      <c r="AH160" s="1330">
        <f t="shared" si="51"/>
        <v>0</v>
      </c>
    </row>
    <row r="161" spans="2:34">
      <c r="B161" s="1687"/>
      <c r="C161" s="1687"/>
      <c r="D161" s="1687"/>
      <c r="E161" s="2152"/>
      <c r="F161" s="1326"/>
      <c r="G161" s="1327"/>
      <c r="H161" s="1326"/>
      <c r="I161" s="1327"/>
      <c r="J161" s="1687"/>
      <c r="K161" s="1687"/>
      <c r="L161" s="1687"/>
      <c r="M161" s="1328"/>
      <c r="N161" s="1328"/>
      <c r="O161" s="1687"/>
      <c r="P161" s="1687"/>
      <c r="Q161" s="1687"/>
      <c r="R161" s="1326"/>
      <c r="S161" s="1327"/>
      <c r="T161" s="1326"/>
      <c r="U161" s="1326"/>
      <c r="V161" s="1329">
        <f t="shared" si="41"/>
        <v>0</v>
      </c>
      <c r="W161" s="1329">
        <f t="shared" si="42"/>
        <v>0</v>
      </c>
      <c r="X161" s="1329">
        <f t="shared" si="43"/>
        <v>0</v>
      </c>
      <c r="Y161" s="1329">
        <f t="shared" si="44"/>
        <v>0</v>
      </c>
      <c r="Z161" s="1329">
        <f t="shared" si="45"/>
        <v>0</v>
      </c>
      <c r="AA161" s="1329">
        <f t="shared" si="46"/>
        <v>0</v>
      </c>
      <c r="AB161" s="1329"/>
      <c r="AC161" s="1329">
        <f t="shared" si="47"/>
        <v>0</v>
      </c>
      <c r="AD161" s="1329"/>
      <c r="AE161" s="1329">
        <f t="shared" si="48"/>
        <v>0</v>
      </c>
      <c r="AF161" s="1329">
        <f t="shared" si="49"/>
        <v>0</v>
      </c>
      <c r="AG161" s="1330">
        <f t="shared" si="50"/>
        <v>0</v>
      </c>
      <c r="AH161" s="1330">
        <f t="shared" si="51"/>
        <v>0</v>
      </c>
    </row>
    <row r="162" spans="2:34">
      <c r="B162" s="1687"/>
      <c r="C162" s="1687"/>
      <c r="D162" s="1687"/>
      <c r="E162" s="2152"/>
      <c r="F162" s="1326"/>
      <c r="G162" s="1327"/>
      <c r="H162" s="1326"/>
      <c r="I162" s="1327"/>
      <c r="J162" s="1687"/>
      <c r="K162" s="1687"/>
      <c r="L162" s="1687"/>
      <c r="M162" s="1328"/>
      <c r="N162" s="1328"/>
      <c r="O162" s="1687"/>
      <c r="P162" s="1687"/>
      <c r="Q162" s="1687"/>
      <c r="R162" s="1326"/>
      <c r="S162" s="1327"/>
      <c r="T162" s="1326"/>
      <c r="U162" s="1326"/>
      <c r="V162" s="1329">
        <f t="shared" si="41"/>
        <v>0</v>
      </c>
      <c r="W162" s="1329">
        <f t="shared" si="42"/>
        <v>0</v>
      </c>
      <c r="X162" s="1329">
        <f t="shared" si="43"/>
        <v>0</v>
      </c>
      <c r="Y162" s="1329">
        <f t="shared" si="44"/>
        <v>0</v>
      </c>
      <c r="Z162" s="1329">
        <f t="shared" si="45"/>
        <v>0</v>
      </c>
      <c r="AA162" s="1329">
        <f t="shared" si="46"/>
        <v>0</v>
      </c>
      <c r="AB162" s="1329"/>
      <c r="AC162" s="1329">
        <f t="shared" si="47"/>
        <v>0</v>
      </c>
      <c r="AD162" s="1329"/>
      <c r="AE162" s="1329">
        <f t="shared" si="48"/>
        <v>0</v>
      </c>
      <c r="AF162" s="1329">
        <f t="shared" si="49"/>
        <v>0</v>
      </c>
      <c r="AG162" s="1330">
        <f t="shared" si="50"/>
        <v>0</v>
      </c>
      <c r="AH162" s="1330">
        <f t="shared" si="51"/>
        <v>0</v>
      </c>
    </row>
    <row r="163" spans="2:34">
      <c r="B163" s="1687"/>
      <c r="C163" s="1687"/>
      <c r="D163" s="1687"/>
      <c r="E163" s="2152"/>
      <c r="F163" s="1326"/>
      <c r="G163" s="1327"/>
      <c r="H163" s="1326"/>
      <c r="I163" s="1327"/>
      <c r="J163" s="1687"/>
      <c r="K163" s="1687"/>
      <c r="L163" s="1687"/>
      <c r="M163" s="1328"/>
      <c r="N163" s="1328"/>
      <c r="O163" s="1687"/>
      <c r="P163" s="1687"/>
      <c r="Q163" s="1687"/>
      <c r="R163" s="1326"/>
      <c r="S163" s="1327"/>
      <c r="T163" s="1326"/>
      <c r="U163" s="1326"/>
      <c r="V163" s="1329">
        <f t="shared" si="41"/>
        <v>0</v>
      </c>
      <c r="W163" s="1329">
        <f t="shared" si="42"/>
        <v>0</v>
      </c>
      <c r="X163" s="1329">
        <f t="shared" si="43"/>
        <v>0</v>
      </c>
      <c r="Y163" s="1329">
        <f t="shared" si="44"/>
        <v>0</v>
      </c>
      <c r="Z163" s="1329">
        <f t="shared" si="45"/>
        <v>0</v>
      </c>
      <c r="AA163" s="1329">
        <f t="shared" si="46"/>
        <v>0</v>
      </c>
      <c r="AB163" s="1329"/>
      <c r="AC163" s="1329">
        <f t="shared" si="47"/>
        <v>0</v>
      </c>
      <c r="AD163" s="1329"/>
      <c r="AE163" s="1329">
        <f t="shared" si="48"/>
        <v>0</v>
      </c>
      <c r="AF163" s="1329">
        <f t="shared" si="49"/>
        <v>0</v>
      </c>
      <c r="AG163" s="1330">
        <f t="shared" si="50"/>
        <v>0</v>
      </c>
      <c r="AH163" s="1330">
        <f t="shared" si="51"/>
        <v>0</v>
      </c>
    </row>
    <row r="164" spans="2:34">
      <c r="B164" s="1687"/>
      <c r="C164" s="1687"/>
      <c r="D164" s="1687"/>
      <c r="E164" s="2152"/>
      <c r="F164" s="1326"/>
      <c r="G164" s="1327"/>
      <c r="H164" s="1326"/>
      <c r="I164" s="1327"/>
      <c r="J164" s="1687"/>
      <c r="K164" s="1687"/>
      <c r="L164" s="1687"/>
      <c r="M164" s="1328"/>
      <c r="N164" s="1328"/>
      <c r="O164" s="1687"/>
      <c r="P164" s="1687"/>
      <c r="Q164" s="1687"/>
      <c r="R164" s="1326"/>
      <c r="S164" s="1327"/>
      <c r="T164" s="1326"/>
      <c r="U164" s="1326"/>
      <c r="V164" s="1329">
        <f t="shared" si="41"/>
        <v>0</v>
      </c>
      <c r="W164" s="1329">
        <f t="shared" si="42"/>
        <v>0</v>
      </c>
      <c r="X164" s="1329">
        <f t="shared" si="43"/>
        <v>0</v>
      </c>
      <c r="Y164" s="1329">
        <f t="shared" si="44"/>
        <v>0</v>
      </c>
      <c r="Z164" s="1329">
        <f t="shared" si="45"/>
        <v>0</v>
      </c>
      <c r="AA164" s="1329">
        <f t="shared" si="46"/>
        <v>0</v>
      </c>
      <c r="AB164" s="1329"/>
      <c r="AC164" s="1329">
        <f t="shared" si="47"/>
        <v>0</v>
      </c>
      <c r="AD164" s="1329"/>
      <c r="AE164" s="1329">
        <f t="shared" si="48"/>
        <v>0</v>
      </c>
      <c r="AF164" s="1329">
        <f t="shared" si="49"/>
        <v>0</v>
      </c>
      <c r="AG164" s="1330">
        <f t="shared" si="50"/>
        <v>0</v>
      </c>
      <c r="AH164" s="1330">
        <f t="shared" si="51"/>
        <v>0</v>
      </c>
    </row>
    <row r="165" spans="2:34">
      <c r="B165" s="1687"/>
      <c r="C165" s="1687"/>
      <c r="D165" s="1687"/>
      <c r="E165" s="2152"/>
      <c r="F165" s="1326"/>
      <c r="G165" s="1327"/>
      <c r="H165" s="1326"/>
      <c r="I165" s="1327"/>
      <c r="J165" s="1687"/>
      <c r="K165" s="1687"/>
      <c r="L165" s="1687"/>
      <c r="M165" s="1328"/>
      <c r="N165" s="1328"/>
      <c r="O165" s="1687"/>
      <c r="P165" s="1687"/>
      <c r="Q165" s="1687"/>
      <c r="R165" s="1326"/>
      <c r="S165" s="1327"/>
      <c r="T165" s="1326"/>
      <c r="U165" s="1326"/>
      <c r="V165" s="1329">
        <f t="shared" si="41"/>
        <v>0</v>
      </c>
      <c r="W165" s="1329">
        <f t="shared" si="42"/>
        <v>0</v>
      </c>
      <c r="X165" s="1329">
        <f t="shared" si="43"/>
        <v>0</v>
      </c>
      <c r="Y165" s="1329">
        <f t="shared" si="44"/>
        <v>0</v>
      </c>
      <c r="Z165" s="1329">
        <f t="shared" si="45"/>
        <v>0</v>
      </c>
      <c r="AA165" s="1329">
        <f t="shared" si="46"/>
        <v>0</v>
      </c>
      <c r="AB165" s="1329"/>
      <c r="AC165" s="1329">
        <f t="shared" si="47"/>
        <v>0</v>
      </c>
      <c r="AD165" s="1329"/>
      <c r="AE165" s="1329">
        <f t="shared" si="48"/>
        <v>0</v>
      </c>
      <c r="AF165" s="1329">
        <f t="shared" si="49"/>
        <v>0</v>
      </c>
      <c r="AG165" s="1330">
        <f t="shared" si="50"/>
        <v>0</v>
      </c>
      <c r="AH165" s="1330">
        <f t="shared" si="51"/>
        <v>0</v>
      </c>
    </row>
    <row r="166" spans="2:34">
      <c r="B166" s="1687"/>
      <c r="C166" s="1687"/>
      <c r="D166" s="1687"/>
      <c r="E166" s="2152"/>
      <c r="F166" s="1326"/>
      <c r="G166" s="1327"/>
      <c r="H166" s="1326"/>
      <c r="I166" s="1327"/>
      <c r="J166" s="1687"/>
      <c r="K166" s="1687"/>
      <c r="L166" s="1687"/>
      <c r="M166" s="1328"/>
      <c r="N166" s="1328"/>
      <c r="O166" s="1687"/>
      <c r="P166" s="1687"/>
      <c r="Q166" s="1687"/>
      <c r="R166" s="1326"/>
      <c r="S166" s="1327"/>
      <c r="T166" s="1326"/>
      <c r="U166" s="1326"/>
      <c r="V166" s="1329">
        <f t="shared" si="41"/>
        <v>0</v>
      </c>
      <c r="W166" s="1329">
        <f t="shared" si="42"/>
        <v>0</v>
      </c>
      <c r="X166" s="1329">
        <f t="shared" si="43"/>
        <v>0</v>
      </c>
      <c r="Y166" s="1329">
        <f t="shared" si="44"/>
        <v>0</v>
      </c>
      <c r="Z166" s="1329">
        <f t="shared" si="45"/>
        <v>0</v>
      </c>
      <c r="AA166" s="1329">
        <f t="shared" si="46"/>
        <v>0</v>
      </c>
      <c r="AB166" s="1329"/>
      <c r="AC166" s="1329">
        <f t="shared" si="47"/>
        <v>0</v>
      </c>
      <c r="AD166" s="1329"/>
      <c r="AE166" s="1329">
        <f t="shared" si="48"/>
        <v>0</v>
      </c>
      <c r="AF166" s="1329">
        <f t="shared" si="49"/>
        <v>0</v>
      </c>
      <c r="AG166" s="1330">
        <f t="shared" si="50"/>
        <v>0</v>
      </c>
      <c r="AH166" s="1330">
        <f t="shared" si="51"/>
        <v>0</v>
      </c>
    </row>
    <row r="167" spans="2:34">
      <c r="B167" s="1687"/>
      <c r="C167" s="1687"/>
      <c r="D167" s="1687"/>
      <c r="E167" s="2152"/>
      <c r="F167" s="1326"/>
      <c r="G167" s="1327"/>
      <c r="H167" s="1326"/>
      <c r="I167" s="1327"/>
      <c r="J167" s="1687"/>
      <c r="K167" s="1687"/>
      <c r="L167" s="1687"/>
      <c r="M167" s="1328"/>
      <c r="N167" s="1328"/>
      <c r="O167" s="1687"/>
      <c r="P167" s="1687"/>
      <c r="Q167" s="1687"/>
      <c r="R167" s="1326"/>
      <c r="S167" s="1327"/>
      <c r="T167" s="1326"/>
      <c r="U167" s="1326"/>
      <c r="V167" s="1329">
        <f t="shared" si="41"/>
        <v>0</v>
      </c>
      <c r="W167" s="1329">
        <f t="shared" si="42"/>
        <v>0</v>
      </c>
      <c r="X167" s="1329">
        <f t="shared" si="43"/>
        <v>0</v>
      </c>
      <c r="Y167" s="1329">
        <f t="shared" si="44"/>
        <v>0</v>
      </c>
      <c r="Z167" s="1329">
        <f t="shared" si="45"/>
        <v>0</v>
      </c>
      <c r="AA167" s="1329">
        <f t="shared" si="46"/>
        <v>0</v>
      </c>
      <c r="AB167" s="1329"/>
      <c r="AC167" s="1329">
        <f t="shared" si="47"/>
        <v>0</v>
      </c>
      <c r="AD167" s="1329"/>
      <c r="AE167" s="1329">
        <f t="shared" si="48"/>
        <v>0</v>
      </c>
      <c r="AF167" s="1329">
        <f t="shared" si="49"/>
        <v>0</v>
      </c>
      <c r="AG167" s="1330">
        <f t="shared" si="50"/>
        <v>0</v>
      </c>
      <c r="AH167" s="1330">
        <f t="shared" si="51"/>
        <v>0</v>
      </c>
    </row>
    <row r="168" spans="2:34">
      <c r="B168" s="1687"/>
      <c r="C168" s="1687"/>
      <c r="D168" s="1687"/>
      <c r="E168" s="2152"/>
      <c r="F168" s="1326"/>
      <c r="G168" s="1327"/>
      <c r="H168" s="1326"/>
      <c r="I168" s="1327"/>
      <c r="J168" s="1687"/>
      <c r="K168" s="1687"/>
      <c r="L168" s="1687"/>
      <c r="M168" s="1328"/>
      <c r="N168" s="1328"/>
      <c r="O168" s="1687"/>
      <c r="P168" s="1687"/>
      <c r="Q168" s="1687"/>
      <c r="R168" s="1326"/>
      <c r="S168" s="1327"/>
      <c r="T168" s="1326"/>
      <c r="U168" s="1326"/>
      <c r="V168" s="1329">
        <f t="shared" si="41"/>
        <v>0</v>
      </c>
      <c r="W168" s="1329">
        <f t="shared" si="42"/>
        <v>0</v>
      </c>
      <c r="X168" s="1329">
        <f t="shared" si="43"/>
        <v>0</v>
      </c>
      <c r="Y168" s="1329">
        <f t="shared" si="44"/>
        <v>0</v>
      </c>
      <c r="Z168" s="1329">
        <f t="shared" si="45"/>
        <v>0</v>
      </c>
      <c r="AA168" s="1329">
        <f t="shared" si="46"/>
        <v>0</v>
      </c>
      <c r="AB168" s="1329"/>
      <c r="AC168" s="1329">
        <f t="shared" si="47"/>
        <v>0</v>
      </c>
      <c r="AD168" s="1329"/>
      <c r="AE168" s="1329">
        <f t="shared" si="48"/>
        <v>0</v>
      </c>
      <c r="AF168" s="1329">
        <f t="shared" si="49"/>
        <v>0</v>
      </c>
      <c r="AG168" s="1330">
        <f t="shared" si="50"/>
        <v>0</v>
      </c>
      <c r="AH168" s="1330">
        <f t="shared" si="51"/>
        <v>0</v>
      </c>
    </row>
    <row r="169" spans="2:34">
      <c r="B169" s="1687"/>
      <c r="C169" s="1687"/>
      <c r="D169" s="1687"/>
      <c r="E169" s="2152"/>
      <c r="F169" s="1326"/>
      <c r="G169" s="1327"/>
      <c r="H169" s="1326"/>
      <c r="I169" s="1327"/>
      <c r="J169" s="1687"/>
      <c r="K169" s="1687"/>
      <c r="L169" s="1687"/>
      <c r="M169" s="1328"/>
      <c r="N169" s="1328"/>
      <c r="O169" s="1687"/>
      <c r="P169" s="1687"/>
      <c r="Q169" s="1687"/>
      <c r="R169" s="1326"/>
      <c r="S169" s="1327"/>
      <c r="T169" s="1326"/>
      <c r="U169" s="1326"/>
      <c r="V169" s="1329">
        <f t="shared" si="41"/>
        <v>0</v>
      </c>
      <c r="W169" s="1329">
        <f t="shared" si="42"/>
        <v>0</v>
      </c>
      <c r="X169" s="1329">
        <f t="shared" si="43"/>
        <v>0</v>
      </c>
      <c r="Y169" s="1329">
        <f t="shared" si="44"/>
        <v>0</v>
      </c>
      <c r="Z169" s="1329">
        <f t="shared" si="45"/>
        <v>0</v>
      </c>
      <c r="AA169" s="1329">
        <f t="shared" si="46"/>
        <v>0</v>
      </c>
      <c r="AB169" s="1329"/>
      <c r="AC169" s="1329">
        <f t="shared" si="47"/>
        <v>0</v>
      </c>
      <c r="AD169" s="1329"/>
      <c r="AE169" s="1329">
        <f t="shared" si="48"/>
        <v>0</v>
      </c>
      <c r="AF169" s="1329">
        <f t="shared" si="49"/>
        <v>0</v>
      </c>
      <c r="AG169" s="1330">
        <f t="shared" si="50"/>
        <v>0</v>
      </c>
      <c r="AH169" s="1330">
        <f t="shared" si="51"/>
        <v>0</v>
      </c>
    </row>
    <row r="170" spans="2:34">
      <c r="B170" s="1687"/>
      <c r="C170" s="1687"/>
      <c r="D170" s="1687"/>
      <c r="E170" s="2152"/>
      <c r="F170" s="1326"/>
      <c r="G170" s="1327"/>
      <c r="H170" s="1326"/>
      <c r="I170" s="1327"/>
      <c r="J170" s="1687"/>
      <c r="K170" s="1687"/>
      <c r="L170" s="1687"/>
      <c r="M170" s="1328"/>
      <c r="N170" s="1328"/>
      <c r="O170" s="1687"/>
      <c r="P170" s="1687"/>
      <c r="Q170" s="1687"/>
      <c r="R170" s="1326"/>
      <c r="S170" s="1327"/>
      <c r="T170" s="1326"/>
      <c r="U170" s="1326"/>
      <c r="V170" s="1329">
        <f t="shared" si="41"/>
        <v>0</v>
      </c>
      <c r="W170" s="1329">
        <f t="shared" si="42"/>
        <v>0</v>
      </c>
      <c r="X170" s="1329">
        <f t="shared" si="43"/>
        <v>0</v>
      </c>
      <c r="Y170" s="1329">
        <f t="shared" si="44"/>
        <v>0</v>
      </c>
      <c r="Z170" s="1329">
        <f t="shared" si="45"/>
        <v>0</v>
      </c>
      <c r="AA170" s="1329">
        <f t="shared" si="46"/>
        <v>0</v>
      </c>
      <c r="AB170" s="1329"/>
      <c r="AC170" s="1329">
        <f t="shared" si="47"/>
        <v>0</v>
      </c>
      <c r="AD170" s="1329"/>
      <c r="AE170" s="1329">
        <f t="shared" si="48"/>
        <v>0</v>
      </c>
      <c r="AF170" s="1329">
        <f t="shared" si="49"/>
        <v>0</v>
      </c>
      <c r="AG170" s="1330">
        <f t="shared" si="50"/>
        <v>0</v>
      </c>
      <c r="AH170" s="1330">
        <f t="shared" si="51"/>
        <v>0</v>
      </c>
    </row>
    <row r="171" spans="2:34">
      <c r="B171" s="1687"/>
      <c r="C171" s="1687"/>
      <c r="D171" s="1687"/>
      <c r="E171" s="2152"/>
      <c r="F171" s="1326"/>
      <c r="G171" s="1327"/>
      <c r="H171" s="1326"/>
      <c r="I171" s="1327"/>
      <c r="J171" s="1687"/>
      <c r="K171" s="1687"/>
      <c r="L171" s="1687"/>
      <c r="M171" s="1328"/>
      <c r="N171" s="1328"/>
      <c r="O171" s="1687"/>
      <c r="P171" s="1687"/>
      <c r="Q171" s="1687"/>
      <c r="R171" s="1326"/>
      <c r="S171" s="1327"/>
      <c r="T171" s="1326"/>
      <c r="U171" s="1326"/>
      <c r="V171" s="1329">
        <f t="shared" si="41"/>
        <v>0</v>
      </c>
      <c r="W171" s="1329">
        <f t="shared" si="42"/>
        <v>0</v>
      </c>
      <c r="X171" s="1329">
        <f t="shared" si="43"/>
        <v>0</v>
      </c>
      <c r="Y171" s="1329">
        <f t="shared" si="44"/>
        <v>0</v>
      </c>
      <c r="Z171" s="1329">
        <f t="shared" si="45"/>
        <v>0</v>
      </c>
      <c r="AA171" s="1329">
        <f t="shared" si="46"/>
        <v>0</v>
      </c>
      <c r="AB171" s="1329"/>
      <c r="AC171" s="1329">
        <f t="shared" si="47"/>
        <v>0</v>
      </c>
      <c r="AD171" s="1329"/>
      <c r="AE171" s="1329">
        <f t="shared" si="48"/>
        <v>0</v>
      </c>
      <c r="AF171" s="1329">
        <f t="shared" si="49"/>
        <v>0</v>
      </c>
      <c r="AG171" s="1330">
        <f t="shared" si="50"/>
        <v>0</v>
      </c>
      <c r="AH171" s="1330">
        <f t="shared" si="51"/>
        <v>0</v>
      </c>
    </row>
    <row r="172" spans="2:34">
      <c r="B172" s="1687"/>
      <c r="C172" s="1687"/>
      <c r="D172" s="1687"/>
      <c r="E172" s="2152"/>
      <c r="F172" s="1326"/>
      <c r="G172" s="1327"/>
      <c r="H172" s="1326"/>
      <c r="I172" s="1327"/>
      <c r="J172" s="1687"/>
      <c r="K172" s="1687"/>
      <c r="L172" s="1687"/>
      <c r="M172" s="1328"/>
      <c r="N172" s="1328"/>
      <c r="O172" s="1687"/>
      <c r="P172" s="1687"/>
      <c r="Q172" s="1687"/>
      <c r="R172" s="1326"/>
      <c r="S172" s="1327"/>
      <c r="T172" s="1326"/>
      <c r="U172" s="1326"/>
      <c r="V172" s="1329">
        <f t="shared" si="41"/>
        <v>0</v>
      </c>
      <c r="W172" s="1329">
        <f t="shared" si="42"/>
        <v>0</v>
      </c>
      <c r="X172" s="1329">
        <f t="shared" si="43"/>
        <v>0</v>
      </c>
      <c r="Y172" s="1329">
        <f t="shared" si="44"/>
        <v>0</v>
      </c>
      <c r="Z172" s="1329">
        <f t="shared" si="45"/>
        <v>0</v>
      </c>
      <c r="AA172" s="1329">
        <f t="shared" si="46"/>
        <v>0</v>
      </c>
      <c r="AB172" s="1329"/>
      <c r="AC172" s="1329">
        <f t="shared" si="47"/>
        <v>0</v>
      </c>
      <c r="AD172" s="1329"/>
      <c r="AE172" s="1329">
        <f t="shared" si="48"/>
        <v>0</v>
      </c>
      <c r="AF172" s="1329">
        <f t="shared" si="49"/>
        <v>0</v>
      </c>
      <c r="AG172" s="1330">
        <f t="shared" si="50"/>
        <v>0</v>
      </c>
      <c r="AH172" s="1330">
        <f t="shared" si="51"/>
        <v>0</v>
      </c>
    </row>
    <row r="173" spans="2:34">
      <c r="B173" s="1687"/>
      <c r="C173" s="1687"/>
      <c r="D173" s="1687"/>
      <c r="E173" s="2152"/>
      <c r="F173" s="1326"/>
      <c r="G173" s="1327"/>
      <c r="H173" s="1326"/>
      <c r="I173" s="1327"/>
      <c r="J173" s="1687"/>
      <c r="K173" s="1687"/>
      <c r="L173" s="1687"/>
      <c r="M173" s="1328"/>
      <c r="N173" s="1328"/>
      <c r="O173" s="1687"/>
      <c r="P173" s="1687"/>
      <c r="Q173" s="1687"/>
      <c r="R173" s="1326"/>
      <c r="S173" s="1327"/>
      <c r="T173" s="1326"/>
      <c r="U173" s="1326"/>
      <c r="V173" s="1329">
        <f t="shared" si="41"/>
        <v>0</v>
      </c>
      <c r="W173" s="1329">
        <f t="shared" si="42"/>
        <v>0</v>
      </c>
      <c r="X173" s="1329">
        <f t="shared" si="43"/>
        <v>0</v>
      </c>
      <c r="Y173" s="1329">
        <f t="shared" si="44"/>
        <v>0</v>
      </c>
      <c r="Z173" s="1329">
        <f t="shared" si="45"/>
        <v>0</v>
      </c>
      <c r="AA173" s="1329">
        <f t="shared" si="46"/>
        <v>0</v>
      </c>
      <c r="AB173" s="1329"/>
      <c r="AC173" s="1329">
        <f t="shared" si="47"/>
        <v>0</v>
      </c>
      <c r="AD173" s="1329"/>
      <c r="AE173" s="1329">
        <f t="shared" si="48"/>
        <v>0</v>
      </c>
      <c r="AF173" s="1329">
        <f t="shared" si="49"/>
        <v>0</v>
      </c>
      <c r="AG173" s="1330">
        <f t="shared" si="50"/>
        <v>0</v>
      </c>
      <c r="AH173" s="1330">
        <f t="shared" si="51"/>
        <v>0</v>
      </c>
    </row>
    <row r="174" spans="2:34">
      <c r="B174" s="1687"/>
      <c r="C174" s="1687"/>
      <c r="D174" s="1687"/>
      <c r="E174" s="2152"/>
      <c r="F174" s="1326"/>
      <c r="G174" s="1327"/>
      <c r="H174" s="1326"/>
      <c r="I174" s="1327"/>
      <c r="J174" s="1687"/>
      <c r="K174" s="1687"/>
      <c r="L174" s="1687"/>
      <c r="M174" s="1328"/>
      <c r="N174" s="1328"/>
      <c r="O174" s="1687"/>
      <c r="P174" s="1687"/>
      <c r="Q174" s="1687"/>
      <c r="R174" s="1326"/>
      <c r="S174" s="1327"/>
      <c r="T174" s="1326"/>
      <c r="U174" s="1326"/>
      <c r="V174" s="1329">
        <f t="shared" si="41"/>
        <v>0</v>
      </c>
      <c r="W174" s="1329">
        <f t="shared" si="42"/>
        <v>0</v>
      </c>
      <c r="X174" s="1329">
        <f t="shared" si="43"/>
        <v>0</v>
      </c>
      <c r="Y174" s="1329">
        <f t="shared" si="44"/>
        <v>0</v>
      </c>
      <c r="Z174" s="1329">
        <f t="shared" si="45"/>
        <v>0</v>
      </c>
      <c r="AA174" s="1329">
        <f t="shared" si="46"/>
        <v>0</v>
      </c>
      <c r="AB174" s="1329"/>
      <c r="AC174" s="1329">
        <f t="shared" si="47"/>
        <v>0</v>
      </c>
      <c r="AD174" s="1329"/>
      <c r="AE174" s="1329">
        <f t="shared" si="48"/>
        <v>0</v>
      </c>
      <c r="AF174" s="1329">
        <f t="shared" si="49"/>
        <v>0</v>
      </c>
      <c r="AG174" s="1330">
        <f t="shared" si="50"/>
        <v>0</v>
      </c>
      <c r="AH174" s="1330">
        <f t="shared" si="51"/>
        <v>0</v>
      </c>
    </row>
    <row r="175" spans="2:34">
      <c r="B175" s="1687"/>
      <c r="C175" s="1687"/>
      <c r="D175" s="1687"/>
      <c r="E175" s="2152"/>
      <c r="F175" s="1326"/>
      <c r="G175" s="1327"/>
      <c r="H175" s="1326"/>
      <c r="I175" s="1327"/>
      <c r="J175" s="1687"/>
      <c r="K175" s="1687"/>
      <c r="L175" s="1687"/>
      <c r="M175" s="1328"/>
      <c r="N175" s="1328"/>
      <c r="O175" s="1687"/>
      <c r="P175" s="1687"/>
      <c r="Q175" s="1687"/>
      <c r="R175" s="1326"/>
      <c r="S175" s="1327"/>
      <c r="T175" s="1326"/>
      <c r="U175" s="1326"/>
      <c r="V175" s="1329">
        <f t="shared" si="41"/>
        <v>0</v>
      </c>
      <c r="W175" s="1329">
        <f t="shared" si="42"/>
        <v>0</v>
      </c>
      <c r="X175" s="1329">
        <f t="shared" si="43"/>
        <v>0</v>
      </c>
      <c r="Y175" s="1329">
        <f t="shared" si="44"/>
        <v>0</v>
      </c>
      <c r="Z175" s="1329">
        <f t="shared" si="45"/>
        <v>0</v>
      </c>
      <c r="AA175" s="1329">
        <f t="shared" si="46"/>
        <v>0</v>
      </c>
      <c r="AB175" s="1329"/>
      <c r="AC175" s="1329">
        <f t="shared" si="47"/>
        <v>0</v>
      </c>
      <c r="AD175" s="1329"/>
      <c r="AE175" s="1329">
        <f t="shared" si="48"/>
        <v>0</v>
      </c>
      <c r="AF175" s="1329">
        <f t="shared" si="49"/>
        <v>0</v>
      </c>
      <c r="AG175" s="1330">
        <f t="shared" si="50"/>
        <v>0</v>
      </c>
      <c r="AH175" s="1330">
        <f t="shared" si="51"/>
        <v>0</v>
      </c>
    </row>
    <row r="176" spans="2:34">
      <c r="B176" s="1687"/>
      <c r="C176" s="1687"/>
      <c r="D176" s="1687"/>
      <c r="E176" s="2152"/>
      <c r="F176" s="1326"/>
      <c r="G176" s="1327"/>
      <c r="H176" s="1326"/>
      <c r="I176" s="1327"/>
      <c r="J176" s="1687"/>
      <c r="K176" s="1687"/>
      <c r="L176" s="1687"/>
      <c r="M176" s="1328"/>
      <c r="N176" s="1328"/>
      <c r="O176" s="1687"/>
      <c r="P176" s="1687"/>
      <c r="Q176" s="1687"/>
      <c r="R176" s="1326"/>
      <c r="S176" s="1327"/>
      <c r="T176" s="1326"/>
      <c r="U176" s="1326"/>
      <c r="V176" s="1329">
        <f t="shared" si="41"/>
        <v>0</v>
      </c>
      <c r="W176" s="1329">
        <f t="shared" si="42"/>
        <v>0</v>
      </c>
      <c r="X176" s="1329">
        <f t="shared" si="43"/>
        <v>0</v>
      </c>
      <c r="Y176" s="1329">
        <f t="shared" si="44"/>
        <v>0</v>
      </c>
      <c r="Z176" s="1329">
        <f t="shared" si="45"/>
        <v>0</v>
      </c>
      <c r="AA176" s="1329">
        <f t="shared" si="46"/>
        <v>0</v>
      </c>
      <c r="AB176" s="1329"/>
      <c r="AC176" s="1329">
        <f t="shared" si="47"/>
        <v>0</v>
      </c>
      <c r="AD176" s="1329"/>
      <c r="AE176" s="1329">
        <f t="shared" si="48"/>
        <v>0</v>
      </c>
      <c r="AF176" s="1329">
        <f t="shared" si="49"/>
        <v>0</v>
      </c>
      <c r="AG176" s="1330">
        <f t="shared" si="50"/>
        <v>0</v>
      </c>
      <c r="AH176" s="1330">
        <f t="shared" si="51"/>
        <v>0</v>
      </c>
    </row>
    <row r="177" spans="2:34">
      <c r="B177" s="1687"/>
      <c r="C177" s="1687"/>
      <c r="D177" s="1687"/>
      <c r="E177" s="2152"/>
      <c r="F177" s="1326"/>
      <c r="G177" s="1327"/>
      <c r="H177" s="1326"/>
      <c r="I177" s="1327"/>
      <c r="J177" s="1687"/>
      <c r="K177" s="1687"/>
      <c r="L177" s="1687"/>
      <c r="M177" s="1328"/>
      <c r="N177" s="1328"/>
      <c r="O177" s="1687"/>
      <c r="P177" s="1687"/>
      <c r="Q177" s="1687"/>
      <c r="R177" s="1326"/>
      <c r="S177" s="1327"/>
      <c r="T177" s="1326"/>
      <c r="U177" s="1326"/>
      <c r="V177" s="1329">
        <f t="shared" si="41"/>
        <v>0</v>
      </c>
      <c r="W177" s="1329">
        <f t="shared" si="42"/>
        <v>0</v>
      </c>
      <c r="X177" s="1329">
        <f t="shared" si="43"/>
        <v>0</v>
      </c>
      <c r="Y177" s="1329">
        <f t="shared" si="44"/>
        <v>0</v>
      </c>
      <c r="Z177" s="1329">
        <f t="shared" si="45"/>
        <v>0</v>
      </c>
      <c r="AA177" s="1329">
        <f t="shared" si="46"/>
        <v>0</v>
      </c>
      <c r="AB177" s="1329"/>
      <c r="AC177" s="1329">
        <f t="shared" si="47"/>
        <v>0</v>
      </c>
      <c r="AD177" s="1329"/>
      <c r="AE177" s="1329">
        <f t="shared" si="48"/>
        <v>0</v>
      </c>
      <c r="AF177" s="1329">
        <f t="shared" si="49"/>
        <v>0</v>
      </c>
      <c r="AG177" s="1330">
        <f t="shared" si="50"/>
        <v>0</v>
      </c>
      <c r="AH177" s="1330">
        <f t="shared" si="51"/>
        <v>0</v>
      </c>
    </row>
    <row r="178" spans="2:34">
      <c r="B178" s="1687"/>
      <c r="C178" s="1687"/>
      <c r="D178" s="1687"/>
      <c r="E178" s="2152"/>
      <c r="F178" s="1326"/>
      <c r="G178" s="1327"/>
      <c r="H178" s="1326"/>
      <c r="I178" s="1327"/>
      <c r="J178" s="1687"/>
      <c r="K178" s="1687"/>
      <c r="L178" s="1687"/>
      <c r="M178" s="1328"/>
      <c r="N178" s="1328"/>
      <c r="O178" s="1687"/>
      <c r="P178" s="1687"/>
      <c r="Q178" s="1687"/>
      <c r="R178" s="1326"/>
      <c r="S178" s="1327"/>
      <c r="T178" s="1326"/>
      <c r="U178" s="1326"/>
      <c r="V178" s="1329">
        <f t="shared" si="41"/>
        <v>0</v>
      </c>
      <c r="W178" s="1329">
        <f t="shared" si="42"/>
        <v>0</v>
      </c>
      <c r="X178" s="1329">
        <f t="shared" si="43"/>
        <v>0</v>
      </c>
      <c r="Y178" s="1329">
        <f t="shared" si="44"/>
        <v>0</v>
      </c>
      <c r="Z178" s="1329">
        <f t="shared" si="45"/>
        <v>0</v>
      </c>
      <c r="AA178" s="1329">
        <f t="shared" si="46"/>
        <v>0</v>
      </c>
      <c r="AB178" s="1329"/>
      <c r="AC178" s="1329">
        <f t="shared" si="47"/>
        <v>0</v>
      </c>
      <c r="AD178" s="1329"/>
      <c r="AE178" s="1329">
        <f t="shared" si="48"/>
        <v>0</v>
      </c>
      <c r="AF178" s="1329">
        <f t="shared" si="49"/>
        <v>0</v>
      </c>
      <c r="AG178" s="1330">
        <f t="shared" si="50"/>
        <v>0</v>
      </c>
      <c r="AH178" s="1330">
        <f t="shared" si="51"/>
        <v>0</v>
      </c>
    </row>
    <row r="179" spans="2:34">
      <c r="B179" s="1687"/>
      <c r="C179" s="1687"/>
      <c r="D179" s="1687"/>
      <c r="E179" s="2152"/>
      <c r="F179" s="1326"/>
      <c r="G179" s="1327"/>
      <c r="H179" s="1326"/>
      <c r="I179" s="1327"/>
      <c r="J179" s="1687"/>
      <c r="K179" s="1687"/>
      <c r="L179" s="1687"/>
      <c r="M179" s="1328"/>
      <c r="N179" s="1328"/>
      <c r="O179" s="1687"/>
      <c r="P179" s="1687"/>
      <c r="Q179" s="1687"/>
      <c r="R179" s="1326"/>
      <c r="S179" s="1327"/>
      <c r="T179" s="1326"/>
      <c r="U179" s="1326"/>
      <c r="V179" s="1329">
        <f t="shared" si="41"/>
        <v>0</v>
      </c>
      <c r="W179" s="1329">
        <f t="shared" si="42"/>
        <v>0</v>
      </c>
      <c r="X179" s="1329">
        <f t="shared" si="43"/>
        <v>0</v>
      </c>
      <c r="Y179" s="1329">
        <f t="shared" si="44"/>
        <v>0</v>
      </c>
      <c r="Z179" s="1329">
        <f t="shared" si="45"/>
        <v>0</v>
      </c>
      <c r="AA179" s="1329">
        <f t="shared" si="46"/>
        <v>0</v>
      </c>
      <c r="AB179" s="1329"/>
      <c r="AC179" s="1329">
        <f t="shared" si="47"/>
        <v>0</v>
      </c>
      <c r="AD179" s="1329"/>
      <c r="AE179" s="1329">
        <f t="shared" si="48"/>
        <v>0</v>
      </c>
      <c r="AF179" s="1329">
        <f t="shared" si="49"/>
        <v>0</v>
      </c>
      <c r="AG179" s="1330">
        <f t="shared" si="50"/>
        <v>0</v>
      </c>
      <c r="AH179" s="1330">
        <f t="shared" si="51"/>
        <v>0</v>
      </c>
    </row>
    <row r="180" spans="2:34">
      <c r="B180" s="1687"/>
      <c r="C180" s="1687"/>
      <c r="D180" s="1687"/>
      <c r="E180" s="2152"/>
      <c r="F180" s="1326"/>
      <c r="G180" s="1327"/>
      <c r="H180" s="1326"/>
      <c r="I180" s="1327"/>
      <c r="J180" s="1687"/>
      <c r="K180" s="1687"/>
      <c r="L180" s="1687"/>
      <c r="M180" s="1328"/>
      <c r="N180" s="1328"/>
      <c r="O180" s="1687"/>
      <c r="P180" s="1687"/>
      <c r="Q180" s="1687"/>
      <c r="R180" s="1326"/>
      <c r="S180" s="1327"/>
      <c r="T180" s="1326"/>
      <c r="U180" s="1326"/>
      <c r="V180" s="1329">
        <f t="shared" si="41"/>
        <v>0</v>
      </c>
      <c r="W180" s="1329">
        <f t="shared" si="42"/>
        <v>0</v>
      </c>
      <c r="X180" s="1329">
        <f t="shared" si="43"/>
        <v>0</v>
      </c>
      <c r="Y180" s="1329">
        <f t="shared" si="44"/>
        <v>0</v>
      </c>
      <c r="Z180" s="1329">
        <f t="shared" si="45"/>
        <v>0</v>
      </c>
      <c r="AA180" s="1329">
        <f t="shared" si="46"/>
        <v>0</v>
      </c>
      <c r="AB180" s="1329"/>
      <c r="AC180" s="1329">
        <f t="shared" si="47"/>
        <v>0</v>
      </c>
      <c r="AD180" s="1329"/>
      <c r="AE180" s="1329">
        <f t="shared" si="48"/>
        <v>0</v>
      </c>
      <c r="AF180" s="1329">
        <f t="shared" si="49"/>
        <v>0</v>
      </c>
      <c r="AG180" s="1330">
        <f t="shared" si="50"/>
        <v>0</v>
      </c>
      <c r="AH180" s="1330">
        <f t="shared" si="51"/>
        <v>0</v>
      </c>
    </row>
    <row r="181" spans="2:34">
      <c r="B181" s="1687"/>
      <c r="C181" s="1687"/>
      <c r="D181" s="1687"/>
      <c r="E181" s="2152"/>
      <c r="F181" s="1326"/>
      <c r="G181" s="1327"/>
      <c r="H181" s="1326"/>
      <c r="I181" s="1327"/>
      <c r="J181" s="1687"/>
      <c r="K181" s="1687"/>
      <c r="L181" s="1687"/>
      <c r="M181" s="1328"/>
      <c r="N181" s="1328"/>
      <c r="O181" s="1687"/>
      <c r="P181" s="1687"/>
      <c r="Q181" s="1687"/>
      <c r="R181" s="1326"/>
      <c r="S181" s="1327"/>
      <c r="T181" s="1326"/>
      <c r="U181" s="1326"/>
      <c r="V181" s="1329">
        <f t="shared" si="41"/>
        <v>0</v>
      </c>
      <c r="W181" s="1329">
        <f t="shared" si="42"/>
        <v>0</v>
      </c>
      <c r="X181" s="1329">
        <f t="shared" si="43"/>
        <v>0</v>
      </c>
      <c r="Y181" s="1329">
        <f t="shared" si="44"/>
        <v>0</v>
      </c>
      <c r="Z181" s="1329">
        <f t="shared" si="45"/>
        <v>0</v>
      </c>
      <c r="AA181" s="1329">
        <f t="shared" si="46"/>
        <v>0</v>
      </c>
      <c r="AB181" s="1329"/>
      <c r="AC181" s="1329">
        <f t="shared" si="47"/>
        <v>0</v>
      </c>
      <c r="AD181" s="1329"/>
      <c r="AE181" s="1329">
        <f t="shared" si="48"/>
        <v>0</v>
      </c>
      <c r="AF181" s="1329">
        <f t="shared" si="49"/>
        <v>0</v>
      </c>
      <c r="AG181" s="1330">
        <f t="shared" si="50"/>
        <v>0</v>
      </c>
      <c r="AH181" s="1330">
        <f t="shared" si="51"/>
        <v>0</v>
      </c>
    </row>
    <row r="182" spans="2:34">
      <c r="B182" s="1687"/>
      <c r="C182" s="1687"/>
      <c r="D182" s="1687"/>
      <c r="E182" s="2152"/>
      <c r="F182" s="1326"/>
      <c r="G182" s="1327"/>
      <c r="H182" s="1326"/>
      <c r="I182" s="1327"/>
      <c r="J182" s="1687"/>
      <c r="K182" s="1687"/>
      <c r="L182" s="1687"/>
      <c r="M182" s="1328"/>
      <c r="N182" s="1328"/>
      <c r="O182" s="1687"/>
      <c r="P182" s="1687"/>
      <c r="Q182" s="1687"/>
      <c r="R182" s="1326"/>
      <c r="S182" s="1327"/>
      <c r="T182" s="1326"/>
      <c r="U182" s="1326"/>
      <c r="V182" s="1329">
        <f t="shared" si="41"/>
        <v>0</v>
      </c>
      <c r="W182" s="1329">
        <f t="shared" si="42"/>
        <v>0</v>
      </c>
      <c r="X182" s="1329">
        <f t="shared" si="43"/>
        <v>0</v>
      </c>
      <c r="Y182" s="1329">
        <f t="shared" si="44"/>
        <v>0</v>
      </c>
      <c r="Z182" s="1329">
        <f t="shared" si="45"/>
        <v>0</v>
      </c>
      <c r="AA182" s="1329">
        <f t="shared" si="46"/>
        <v>0</v>
      </c>
      <c r="AB182" s="1329"/>
      <c r="AC182" s="1329">
        <f t="shared" si="47"/>
        <v>0</v>
      </c>
      <c r="AD182" s="1329"/>
      <c r="AE182" s="1329">
        <f t="shared" si="48"/>
        <v>0</v>
      </c>
      <c r="AF182" s="1329">
        <f t="shared" si="49"/>
        <v>0</v>
      </c>
      <c r="AG182" s="1330">
        <f t="shared" si="50"/>
        <v>0</v>
      </c>
      <c r="AH182" s="1330">
        <f t="shared" si="51"/>
        <v>0</v>
      </c>
    </row>
    <row r="183" spans="2:34">
      <c r="B183" s="1687"/>
      <c r="C183" s="1687"/>
      <c r="D183" s="1687"/>
      <c r="E183" s="2152"/>
      <c r="F183" s="1326"/>
      <c r="G183" s="1327"/>
      <c r="H183" s="1326"/>
      <c r="I183" s="1327"/>
      <c r="J183" s="1687"/>
      <c r="K183" s="1687"/>
      <c r="L183" s="1687"/>
      <c r="M183" s="1328"/>
      <c r="N183" s="1328"/>
      <c r="O183" s="1687"/>
      <c r="P183" s="1687"/>
      <c r="Q183" s="1687"/>
      <c r="R183" s="1326"/>
      <c r="S183" s="1327"/>
      <c r="T183" s="1326"/>
      <c r="U183" s="1326"/>
      <c r="V183" s="1329">
        <f t="shared" si="41"/>
        <v>0</v>
      </c>
      <c r="W183" s="1329">
        <f t="shared" si="42"/>
        <v>0</v>
      </c>
      <c r="X183" s="1329">
        <f t="shared" si="43"/>
        <v>0</v>
      </c>
      <c r="Y183" s="1329">
        <f t="shared" si="44"/>
        <v>0</v>
      </c>
      <c r="Z183" s="1329">
        <f t="shared" si="45"/>
        <v>0</v>
      </c>
      <c r="AA183" s="1329">
        <f t="shared" si="46"/>
        <v>0</v>
      </c>
      <c r="AB183" s="1329"/>
      <c r="AC183" s="1329">
        <f t="shared" si="47"/>
        <v>0</v>
      </c>
      <c r="AD183" s="1329"/>
      <c r="AE183" s="1329">
        <f t="shared" si="48"/>
        <v>0</v>
      </c>
      <c r="AF183" s="1329">
        <f t="shared" si="49"/>
        <v>0</v>
      </c>
      <c r="AG183" s="1330">
        <f t="shared" si="50"/>
        <v>0</v>
      </c>
      <c r="AH183" s="1330">
        <f t="shared" si="51"/>
        <v>0</v>
      </c>
    </row>
    <row r="184" spans="2:34">
      <c r="B184" s="1687"/>
      <c r="C184" s="1687"/>
      <c r="D184" s="1687"/>
      <c r="E184" s="2152"/>
      <c r="F184" s="1326"/>
      <c r="G184" s="1327"/>
      <c r="H184" s="1326"/>
      <c r="I184" s="1327"/>
      <c r="J184" s="1687"/>
      <c r="K184" s="1687"/>
      <c r="L184" s="1687"/>
      <c r="M184" s="1328"/>
      <c r="N184" s="1328"/>
      <c r="O184" s="1687"/>
      <c r="P184" s="1687"/>
      <c r="Q184" s="1687"/>
      <c r="R184" s="1326"/>
      <c r="S184" s="1327"/>
      <c r="T184" s="1326"/>
      <c r="U184" s="1326"/>
      <c r="V184" s="1329">
        <f t="shared" si="41"/>
        <v>0</v>
      </c>
      <c r="W184" s="1329">
        <f t="shared" si="42"/>
        <v>0</v>
      </c>
      <c r="X184" s="1329">
        <f t="shared" si="43"/>
        <v>0</v>
      </c>
      <c r="Y184" s="1329">
        <f t="shared" si="44"/>
        <v>0</v>
      </c>
      <c r="Z184" s="1329">
        <f t="shared" si="45"/>
        <v>0</v>
      </c>
      <c r="AA184" s="1329">
        <f t="shared" si="46"/>
        <v>0</v>
      </c>
      <c r="AB184" s="1329"/>
      <c r="AC184" s="1329">
        <f t="shared" si="47"/>
        <v>0</v>
      </c>
      <c r="AD184" s="1329"/>
      <c r="AE184" s="1329">
        <f t="shared" si="48"/>
        <v>0</v>
      </c>
      <c r="AF184" s="1329">
        <f t="shared" si="49"/>
        <v>0</v>
      </c>
      <c r="AG184" s="1330">
        <f t="shared" si="50"/>
        <v>0</v>
      </c>
      <c r="AH184" s="1330">
        <f t="shared" si="51"/>
        <v>0</v>
      </c>
    </row>
    <row r="185" spans="2:34">
      <c r="B185" s="1687"/>
      <c r="C185" s="1687"/>
      <c r="D185" s="1687"/>
      <c r="E185" s="2152"/>
      <c r="F185" s="1326"/>
      <c r="G185" s="1327"/>
      <c r="H185" s="1326"/>
      <c r="I185" s="1327"/>
      <c r="J185" s="1687"/>
      <c r="K185" s="1687"/>
      <c r="L185" s="1687"/>
      <c r="M185" s="1328"/>
      <c r="N185" s="1328"/>
      <c r="O185" s="1687"/>
      <c r="P185" s="1687"/>
      <c r="Q185" s="1687"/>
      <c r="R185" s="1326"/>
      <c r="S185" s="1327"/>
      <c r="T185" s="1326"/>
      <c r="U185" s="1326"/>
      <c r="V185" s="1329">
        <f t="shared" si="41"/>
        <v>0</v>
      </c>
      <c r="W185" s="1329">
        <f t="shared" si="42"/>
        <v>0</v>
      </c>
      <c r="X185" s="1329">
        <f t="shared" si="43"/>
        <v>0</v>
      </c>
      <c r="Y185" s="1329">
        <f t="shared" si="44"/>
        <v>0</v>
      </c>
      <c r="Z185" s="1329">
        <f t="shared" si="45"/>
        <v>0</v>
      </c>
      <c r="AA185" s="1329">
        <f t="shared" si="46"/>
        <v>0</v>
      </c>
      <c r="AB185" s="1329"/>
      <c r="AC185" s="1329">
        <f t="shared" si="47"/>
        <v>0</v>
      </c>
      <c r="AD185" s="1329"/>
      <c r="AE185" s="1329">
        <f t="shared" si="48"/>
        <v>0</v>
      </c>
      <c r="AF185" s="1329">
        <f t="shared" si="49"/>
        <v>0</v>
      </c>
      <c r="AG185" s="1330">
        <f t="shared" si="50"/>
        <v>0</v>
      </c>
      <c r="AH185" s="1330">
        <f t="shared" si="51"/>
        <v>0</v>
      </c>
    </row>
    <row r="186" spans="2:34">
      <c r="B186" s="1687"/>
      <c r="C186" s="1687"/>
      <c r="D186" s="1687"/>
      <c r="E186" s="2152"/>
      <c r="F186" s="1326"/>
      <c r="G186" s="1327"/>
      <c r="H186" s="1326"/>
      <c r="I186" s="1327"/>
      <c r="J186" s="1687"/>
      <c r="K186" s="1687"/>
      <c r="L186" s="1687"/>
      <c r="M186" s="1328"/>
      <c r="N186" s="1328"/>
      <c r="O186" s="1687"/>
      <c r="P186" s="1687"/>
      <c r="Q186" s="1687"/>
      <c r="R186" s="1326"/>
      <c r="S186" s="1327"/>
      <c r="T186" s="1326"/>
      <c r="U186" s="1326"/>
      <c r="V186" s="1329">
        <f t="shared" ref="V186:V249" si="52">IF(F186&gt;=0,0,"c50&gt;=0")</f>
        <v>0</v>
      </c>
      <c r="W186" s="1329">
        <f t="shared" ref="W186:W249" si="53">IF(H186&gt;=0,0,"c70&gt;=0")</f>
        <v>0</v>
      </c>
      <c r="X186" s="1329">
        <f t="shared" ref="X186:X249" si="54">IF(M186&lt;=1,0,"c110&lt;=1")</f>
        <v>0</v>
      </c>
      <c r="Y186" s="1329">
        <f t="shared" ref="Y186:Y249" si="55">IF(M186&gt;=0,0,"c110&gt;=0")</f>
        <v>0</v>
      </c>
      <c r="Z186" s="1329">
        <f t="shared" ref="Z186:Z249" si="56">IF(N186&lt;=1,0,"c120&lt;=1")</f>
        <v>0</v>
      </c>
      <c r="AA186" s="1329">
        <f t="shared" ref="AA186:AA249" si="57">IF(N186&gt;=0,0,"c120&gt;=0")</f>
        <v>0</v>
      </c>
      <c r="AB186" s="1329"/>
      <c r="AC186" s="1329">
        <f t="shared" ref="AC186:AC249" si="58">IF(R186&gt;=0,0,"c160&gt;=0")</f>
        <v>0</v>
      </c>
      <c r="AD186" s="1329"/>
      <c r="AE186" s="1329">
        <f t="shared" ref="AE186:AE249" si="59">IF(T186&gt;=0,0,"c180&gt;=0")</f>
        <v>0</v>
      </c>
      <c r="AF186" s="1329">
        <f t="shared" ref="AF186:AF249" si="60">IF(U186&gt;=0,0,"c190&gt;=0")</f>
        <v>0</v>
      </c>
      <c r="AG186" s="1330">
        <f t="shared" si="50"/>
        <v>0</v>
      </c>
      <c r="AH186" s="1330">
        <f t="shared" si="51"/>
        <v>0</v>
      </c>
    </row>
    <row r="187" spans="2:34">
      <c r="B187" s="1687"/>
      <c r="C187" s="1687"/>
      <c r="D187" s="1687"/>
      <c r="E187" s="2152"/>
      <c r="F187" s="1326"/>
      <c r="G187" s="1327"/>
      <c r="H187" s="1326"/>
      <c r="I187" s="1327"/>
      <c r="J187" s="1687"/>
      <c r="K187" s="1687"/>
      <c r="L187" s="1687"/>
      <c r="M187" s="1328"/>
      <c r="N187" s="1328"/>
      <c r="O187" s="1687"/>
      <c r="P187" s="1687"/>
      <c r="Q187" s="1687"/>
      <c r="R187" s="1326"/>
      <c r="S187" s="1327"/>
      <c r="T187" s="1326"/>
      <c r="U187" s="1326"/>
      <c r="V187" s="1329">
        <f t="shared" si="52"/>
        <v>0</v>
      </c>
      <c r="W187" s="1329">
        <f t="shared" si="53"/>
        <v>0</v>
      </c>
      <c r="X187" s="1329">
        <f t="shared" si="54"/>
        <v>0</v>
      </c>
      <c r="Y187" s="1329">
        <f t="shared" si="55"/>
        <v>0</v>
      </c>
      <c r="Z187" s="1329">
        <f t="shared" si="56"/>
        <v>0</v>
      </c>
      <c r="AA187" s="1329">
        <f t="shared" si="57"/>
        <v>0</v>
      </c>
      <c r="AB187" s="1329"/>
      <c r="AC187" s="1329">
        <f t="shared" si="58"/>
        <v>0</v>
      </c>
      <c r="AD187" s="1329"/>
      <c r="AE187" s="1329">
        <f t="shared" si="59"/>
        <v>0</v>
      </c>
      <c r="AF187" s="1329">
        <f t="shared" si="60"/>
        <v>0</v>
      </c>
      <c r="AG187" s="1330">
        <f t="shared" si="50"/>
        <v>0</v>
      </c>
      <c r="AH187" s="1330">
        <f t="shared" si="51"/>
        <v>0</v>
      </c>
    </row>
    <row r="188" spans="2:34">
      <c r="B188" s="1687"/>
      <c r="C188" s="1687"/>
      <c r="D188" s="1687"/>
      <c r="E188" s="2152"/>
      <c r="F188" s="1326"/>
      <c r="G188" s="1327"/>
      <c r="H188" s="1326"/>
      <c r="I188" s="1327"/>
      <c r="J188" s="1687"/>
      <c r="K188" s="1687"/>
      <c r="L188" s="1687"/>
      <c r="M188" s="1328"/>
      <c r="N188" s="1328"/>
      <c r="O188" s="1687"/>
      <c r="P188" s="1687"/>
      <c r="Q188" s="1687"/>
      <c r="R188" s="1326"/>
      <c r="S188" s="1327"/>
      <c r="T188" s="1326"/>
      <c r="U188" s="1326"/>
      <c r="V188" s="1329">
        <f t="shared" si="52"/>
        <v>0</v>
      </c>
      <c r="W188" s="1329">
        <f t="shared" si="53"/>
        <v>0</v>
      </c>
      <c r="X188" s="1329">
        <f t="shared" si="54"/>
        <v>0</v>
      </c>
      <c r="Y188" s="1329">
        <f t="shared" si="55"/>
        <v>0</v>
      </c>
      <c r="Z188" s="1329">
        <f t="shared" si="56"/>
        <v>0</v>
      </c>
      <c r="AA188" s="1329">
        <f t="shared" si="57"/>
        <v>0</v>
      </c>
      <c r="AB188" s="1329"/>
      <c r="AC188" s="1329">
        <f t="shared" si="58"/>
        <v>0</v>
      </c>
      <c r="AD188" s="1329"/>
      <c r="AE188" s="1329">
        <f t="shared" si="59"/>
        <v>0</v>
      </c>
      <c r="AF188" s="1329">
        <f t="shared" si="60"/>
        <v>0</v>
      </c>
      <c r="AG188" s="1330">
        <f t="shared" si="50"/>
        <v>0</v>
      </c>
      <c r="AH188" s="1330">
        <f t="shared" si="51"/>
        <v>0</v>
      </c>
    </row>
    <row r="189" spans="2:34">
      <c r="B189" s="1687"/>
      <c r="C189" s="1687"/>
      <c r="D189" s="1687"/>
      <c r="E189" s="2152"/>
      <c r="F189" s="1326"/>
      <c r="G189" s="1327"/>
      <c r="H189" s="1326"/>
      <c r="I189" s="1327"/>
      <c r="J189" s="1687"/>
      <c r="K189" s="1687"/>
      <c r="L189" s="1687"/>
      <c r="M189" s="1328"/>
      <c r="N189" s="1328"/>
      <c r="O189" s="1687"/>
      <c r="P189" s="1687"/>
      <c r="Q189" s="1687"/>
      <c r="R189" s="1326"/>
      <c r="S189" s="1327"/>
      <c r="T189" s="1326"/>
      <c r="U189" s="1326"/>
      <c r="V189" s="1329">
        <f t="shared" si="52"/>
        <v>0</v>
      </c>
      <c r="W189" s="1329">
        <f t="shared" si="53"/>
        <v>0</v>
      </c>
      <c r="X189" s="1329">
        <f t="shared" si="54"/>
        <v>0</v>
      </c>
      <c r="Y189" s="1329">
        <f t="shared" si="55"/>
        <v>0</v>
      </c>
      <c r="Z189" s="1329">
        <f t="shared" si="56"/>
        <v>0</v>
      </c>
      <c r="AA189" s="1329">
        <f t="shared" si="57"/>
        <v>0</v>
      </c>
      <c r="AB189" s="1329"/>
      <c r="AC189" s="1329">
        <f t="shared" si="58"/>
        <v>0</v>
      </c>
      <c r="AD189" s="1329"/>
      <c r="AE189" s="1329">
        <f t="shared" si="59"/>
        <v>0</v>
      </c>
      <c r="AF189" s="1329">
        <f t="shared" si="60"/>
        <v>0</v>
      </c>
      <c r="AG189" s="1330">
        <f t="shared" si="50"/>
        <v>0</v>
      </c>
      <c r="AH189" s="1330">
        <f t="shared" si="51"/>
        <v>0</v>
      </c>
    </row>
    <row r="190" spans="2:34">
      <c r="B190" s="1687"/>
      <c r="C190" s="1687"/>
      <c r="D190" s="1687"/>
      <c r="E190" s="2152"/>
      <c r="F190" s="1326"/>
      <c r="G190" s="1327"/>
      <c r="H190" s="1326"/>
      <c r="I190" s="1327"/>
      <c r="J190" s="1687"/>
      <c r="K190" s="1687"/>
      <c r="L190" s="1687"/>
      <c r="M190" s="1328"/>
      <c r="N190" s="1328"/>
      <c r="O190" s="1687"/>
      <c r="P190" s="1687"/>
      <c r="Q190" s="1687"/>
      <c r="R190" s="1326"/>
      <c r="S190" s="1327"/>
      <c r="T190" s="1326"/>
      <c r="U190" s="1326"/>
      <c r="V190" s="1329">
        <f t="shared" si="52"/>
        <v>0</v>
      </c>
      <c r="W190" s="1329">
        <f t="shared" si="53"/>
        <v>0</v>
      </c>
      <c r="X190" s="1329">
        <f t="shared" si="54"/>
        <v>0</v>
      </c>
      <c r="Y190" s="1329">
        <f t="shared" si="55"/>
        <v>0</v>
      </c>
      <c r="Z190" s="1329">
        <f t="shared" si="56"/>
        <v>0</v>
      </c>
      <c r="AA190" s="1329">
        <f t="shared" si="57"/>
        <v>0</v>
      </c>
      <c r="AB190" s="1329"/>
      <c r="AC190" s="1329">
        <f t="shared" si="58"/>
        <v>0</v>
      </c>
      <c r="AD190" s="1329"/>
      <c r="AE190" s="1329">
        <f t="shared" si="59"/>
        <v>0</v>
      </c>
      <c r="AF190" s="1329">
        <f t="shared" si="60"/>
        <v>0</v>
      </c>
      <c r="AG190" s="1330">
        <f t="shared" si="50"/>
        <v>0</v>
      </c>
      <c r="AH190" s="1330">
        <f t="shared" si="51"/>
        <v>0</v>
      </c>
    </row>
    <row r="191" spans="2:34">
      <c r="B191" s="1687"/>
      <c r="C191" s="1687"/>
      <c r="D191" s="1687"/>
      <c r="E191" s="2152"/>
      <c r="F191" s="1326"/>
      <c r="G191" s="1327"/>
      <c r="H191" s="1326"/>
      <c r="I191" s="1327"/>
      <c r="J191" s="1687"/>
      <c r="K191" s="1687"/>
      <c r="L191" s="1687"/>
      <c r="M191" s="1328"/>
      <c r="N191" s="1328"/>
      <c r="O191" s="1687"/>
      <c r="P191" s="1687"/>
      <c r="Q191" s="1687"/>
      <c r="R191" s="1326"/>
      <c r="S191" s="1327"/>
      <c r="T191" s="1326"/>
      <c r="U191" s="1326"/>
      <c r="V191" s="1329">
        <f t="shared" si="52"/>
        <v>0</v>
      </c>
      <c r="W191" s="1329">
        <f t="shared" si="53"/>
        <v>0</v>
      </c>
      <c r="X191" s="1329">
        <f t="shared" si="54"/>
        <v>0</v>
      </c>
      <c r="Y191" s="1329">
        <f t="shared" si="55"/>
        <v>0</v>
      </c>
      <c r="Z191" s="1329">
        <f t="shared" si="56"/>
        <v>0</v>
      </c>
      <c r="AA191" s="1329">
        <f t="shared" si="57"/>
        <v>0</v>
      </c>
      <c r="AB191" s="1329"/>
      <c r="AC191" s="1329">
        <f t="shared" si="58"/>
        <v>0</v>
      </c>
      <c r="AD191" s="1329"/>
      <c r="AE191" s="1329">
        <f t="shared" si="59"/>
        <v>0</v>
      </c>
      <c r="AF191" s="1329">
        <f t="shared" si="60"/>
        <v>0</v>
      </c>
      <c r="AG191" s="1330">
        <f t="shared" si="50"/>
        <v>0</v>
      </c>
      <c r="AH191" s="1330">
        <f t="shared" si="51"/>
        <v>0</v>
      </c>
    </row>
    <row r="192" spans="2:34">
      <c r="B192" s="1687"/>
      <c r="C192" s="1687"/>
      <c r="D192" s="1687"/>
      <c r="E192" s="2152"/>
      <c r="F192" s="1326"/>
      <c r="G192" s="1327"/>
      <c r="H192" s="1326"/>
      <c r="I192" s="1327"/>
      <c r="J192" s="1687"/>
      <c r="K192" s="1687"/>
      <c r="L192" s="1687"/>
      <c r="M192" s="1328"/>
      <c r="N192" s="1328"/>
      <c r="O192" s="1687"/>
      <c r="P192" s="1687"/>
      <c r="Q192" s="1687"/>
      <c r="R192" s="1326"/>
      <c r="S192" s="1327"/>
      <c r="T192" s="1326"/>
      <c r="U192" s="1326"/>
      <c r="V192" s="1329">
        <f t="shared" si="52"/>
        <v>0</v>
      </c>
      <c r="W192" s="1329">
        <f t="shared" si="53"/>
        <v>0</v>
      </c>
      <c r="X192" s="1329">
        <f t="shared" si="54"/>
        <v>0</v>
      </c>
      <c r="Y192" s="1329">
        <f t="shared" si="55"/>
        <v>0</v>
      </c>
      <c r="Z192" s="1329">
        <f t="shared" si="56"/>
        <v>0</v>
      </c>
      <c r="AA192" s="1329">
        <f t="shared" si="57"/>
        <v>0</v>
      </c>
      <c r="AB192" s="1329"/>
      <c r="AC192" s="1329">
        <f t="shared" si="58"/>
        <v>0</v>
      </c>
      <c r="AD192" s="1329"/>
      <c r="AE192" s="1329">
        <f t="shared" si="59"/>
        <v>0</v>
      </c>
      <c r="AF192" s="1329">
        <f t="shared" si="60"/>
        <v>0</v>
      </c>
      <c r="AG192" s="1330">
        <f t="shared" si="50"/>
        <v>0</v>
      </c>
      <c r="AH192" s="1330">
        <f t="shared" si="51"/>
        <v>0</v>
      </c>
    </row>
    <row r="193" spans="2:34">
      <c r="B193" s="1687"/>
      <c r="C193" s="1687"/>
      <c r="D193" s="1687"/>
      <c r="E193" s="2152"/>
      <c r="F193" s="1326"/>
      <c r="G193" s="1327"/>
      <c r="H193" s="1326"/>
      <c r="I193" s="1327"/>
      <c r="J193" s="1687"/>
      <c r="K193" s="1687"/>
      <c r="L193" s="1687"/>
      <c r="M193" s="1328"/>
      <c r="N193" s="1328"/>
      <c r="O193" s="1687"/>
      <c r="P193" s="1687"/>
      <c r="Q193" s="1687"/>
      <c r="R193" s="1326"/>
      <c r="S193" s="1327"/>
      <c r="T193" s="1326"/>
      <c r="U193" s="1326"/>
      <c r="V193" s="1329">
        <f t="shared" si="52"/>
        <v>0</v>
      </c>
      <c r="W193" s="1329">
        <f t="shared" si="53"/>
        <v>0</v>
      </c>
      <c r="X193" s="1329">
        <f t="shared" si="54"/>
        <v>0</v>
      </c>
      <c r="Y193" s="1329">
        <f t="shared" si="55"/>
        <v>0</v>
      </c>
      <c r="Z193" s="1329">
        <f t="shared" si="56"/>
        <v>0</v>
      </c>
      <c r="AA193" s="1329">
        <f t="shared" si="57"/>
        <v>0</v>
      </c>
      <c r="AB193" s="1329"/>
      <c r="AC193" s="1329">
        <f t="shared" si="58"/>
        <v>0</v>
      </c>
      <c r="AD193" s="1329"/>
      <c r="AE193" s="1329">
        <f t="shared" si="59"/>
        <v>0</v>
      </c>
      <c r="AF193" s="1329">
        <f t="shared" si="60"/>
        <v>0</v>
      </c>
      <c r="AG193" s="1330">
        <f t="shared" si="50"/>
        <v>0</v>
      </c>
      <c r="AH193" s="1330">
        <f t="shared" si="51"/>
        <v>0</v>
      </c>
    </row>
    <row r="194" spans="2:34">
      <c r="B194" s="1687"/>
      <c r="C194" s="1687"/>
      <c r="D194" s="1687"/>
      <c r="E194" s="2152"/>
      <c r="F194" s="1326"/>
      <c r="G194" s="1327"/>
      <c r="H194" s="1326"/>
      <c r="I194" s="1327"/>
      <c r="J194" s="1687"/>
      <c r="K194" s="1687"/>
      <c r="L194" s="1687"/>
      <c r="M194" s="1328"/>
      <c r="N194" s="1328"/>
      <c r="O194" s="1687"/>
      <c r="P194" s="1687"/>
      <c r="Q194" s="1687"/>
      <c r="R194" s="1326"/>
      <c r="S194" s="1327"/>
      <c r="T194" s="1326"/>
      <c r="U194" s="1326"/>
      <c r="V194" s="1329">
        <f t="shared" si="52"/>
        <v>0</v>
      </c>
      <c r="W194" s="1329">
        <f t="shared" si="53"/>
        <v>0</v>
      </c>
      <c r="X194" s="1329">
        <f t="shared" si="54"/>
        <v>0</v>
      </c>
      <c r="Y194" s="1329">
        <f t="shared" si="55"/>
        <v>0</v>
      </c>
      <c r="Z194" s="1329">
        <f t="shared" si="56"/>
        <v>0</v>
      </c>
      <c r="AA194" s="1329">
        <f t="shared" si="57"/>
        <v>0</v>
      </c>
      <c r="AB194" s="1329"/>
      <c r="AC194" s="1329">
        <f t="shared" si="58"/>
        <v>0</v>
      </c>
      <c r="AD194" s="1329"/>
      <c r="AE194" s="1329">
        <f t="shared" si="59"/>
        <v>0</v>
      </c>
      <c r="AF194" s="1329">
        <f t="shared" si="60"/>
        <v>0</v>
      </c>
      <c r="AG194" s="1330">
        <f t="shared" si="50"/>
        <v>0</v>
      </c>
      <c r="AH194" s="1330">
        <f t="shared" si="51"/>
        <v>0</v>
      </c>
    </row>
    <row r="195" spans="2:34">
      <c r="B195" s="1687"/>
      <c r="C195" s="1687"/>
      <c r="D195" s="1687"/>
      <c r="E195" s="2152"/>
      <c r="F195" s="1326"/>
      <c r="G195" s="1327"/>
      <c r="H195" s="1326"/>
      <c r="I195" s="1327"/>
      <c r="J195" s="1687"/>
      <c r="K195" s="1687"/>
      <c r="L195" s="1687"/>
      <c r="M195" s="1328"/>
      <c r="N195" s="1328"/>
      <c r="O195" s="1687"/>
      <c r="P195" s="1687"/>
      <c r="Q195" s="1687"/>
      <c r="R195" s="1326"/>
      <c r="S195" s="1327"/>
      <c r="T195" s="1326"/>
      <c r="U195" s="1326"/>
      <c r="V195" s="1329">
        <f t="shared" si="52"/>
        <v>0</v>
      </c>
      <c r="W195" s="1329">
        <f t="shared" si="53"/>
        <v>0</v>
      </c>
      <c r="X195" s="1329">
        <f t="shared" si="54"/>
        <v>0</v>
      </c>
      <c r="Y195" s="1329">
        <f t="shared" si="55"/>
        <v>0</v>
      </c>
      <c r="Z195" s="1329">
        <f t="shared" si="56"/>
        <v>0</v>
      </c>
      <c r="AA195" s="1329">
        <f t="shared" si="57"/>
        <v>0</v>
      </c>
      <c r="AB195" s="1329"/>
      <c r="AC195" s="1329">
        <f t="shared" si="58"/>
        <v>0</v>
      </c>
      <c r="AD195" s="1329"/>
      <c r="AE195" s="1329">
        <f t="shared" si="59"/>
        <v>0</v>
      </c>
      <c r="AF195" s="1329">
        <f t="shared" si="60"/>
        <v>0</v>
      </c>
      <c r="AG195" s="1330">
        <f t="shared" si="50"/>
        <v>0</v>
      </c>
      <c r="AH195" s="1330">
        <f t="shared" si="51"/>
        <v>0</v>
      </c>
    </row>
    <row r="196" spans="2:34">
      <c r="B196" s="1687"/>
      <c r="C196" s="1687"/>
      <c r="D196" s="1687"/>
      <c r="E196" s="2152"/>
      <c r="F196" s="1326"/>
      <c r="G196" s="1327"/>
      <c r="H196" s="1326"/>
      <c r="I196" s="1327"/>
      <c r="J196" s="1687"/>
      <c r="K196" s="1687"/>
      <c r="L196" s="1687"/>
      <c r="M196" s="1328"/>
      <c r="N196" s="1328"/>
      <c r="O196" s="1687"/>
      <c r="P196" s="1687"/>
      <c r="Q196" s="1687"/>
      <c r="R196" s="1326"/>
      <c r="S196" s="1327"/>
      <c r="T196" s="1326"/>
      <c r="U196" s="1326"/>
      <c r="V196" s="1329">
        <f t="shared" si="52"/>
        <v>0</v>
      </c>
      <c r="W196" s="1329">
        <f t="shared" si="53"/>
        <v>0</v>
      </c>
      <c r="X196" s="1329">
        <f t="shared" si="54"/>
        <v>0</v>
      </c>
      <c r="Y196" s="1329">
        <f t="shared" si="55"/>
        <v>0</v>
      </c>
      <c r="Z196" s="1329">
        <f t="shared" si="56"/>
        <v>0</v>
      </c>
      <c r="AA196" s="1329">
        <f t="shared" si="57"/>
        <v>0</v>
      </c>
      <c r="AB196" s="1329"/>
      <c r="AC196" s="1329">
        <f t="shared" si="58"/>
        <v>0</v>
      </c>
      <c r="AD196" s="1329"/>
      <c r="AE196" s="1329">
        <f t="shared" si="59"/>
        <v>0</v>
      </c>
      <c r="AF196" s="1329">
        <f t="shared" si="60"/>
        <v>0</v>
      </c>
      <c r="AG196" s="1330">
        <f t="shared" si="50"/>
        <v>0</v>
      </c>
      <c r="AH196" s="1330">
        <f t="shared" si="51"/>
        <v>0</v>
      </c>
    </row>
    <row r="197" spans="2:34">
      <c r="B197" s="1687"/>
      <c r="C197" s="1687"/>
      <c r="D197" s="1687"/>
      <c r="E197" s="2152"/>
      <c r="F197" s="1326"/>
      <c r="G197" s="1327"/>
      <c r="H197" s="1326"/>
      <c r="I197" s="1327"/>
      <c r="J197" s="1687"/>
      <c r="K197" s="1687"/>
      <c r="L197" s="1687"/>
      <c r="M197" s="1328"/>
      <c r="N197" s="1328"/>
      <c r="O197" s="1687"/>
      <c r="P197" s="1687"/>
      <c r="Q197" s="1687"/>
      <c r="R197" s="1326"/>
      <c r="S197" s="1327"/>
      <c r="T197" s="1326"/>
      <c r="U197" s="1326"/>
      <c r="V197" s="1329">
        <f t="shared" si="52"/>
        <v>0</v>
      </c>
      <c r="W197" s="1329">
        <f t="shared" si="53"/>
        <v>0</v>
      </c>
      <c r="X197" s="1329">
        <f t="shared" si="54"/>
        <v>0</v>
      </c>
      <c r="Y197" s="1329">
        <f t="shared" si="55"/>
        <v>0</v>
      </c>
      <c r="Z197" s="1329">
        <f t="shared" si="56"/>
        <v>0</v>
      </c>
      <c r="AA197" s="1329">
        <f t="shared" si="57"/>
        <v>0</v>
      </c>
      <c r="AB197" s="1329"/>
      <c r="AC197" s="1329">
        <f t="shared" si="58"/>
        <v>0</v>
      </c>
      <c r="AD197" s="1329"/>
      <c r="AE197" s="1329">
        <f t="shared" si="59"/>
        <v>0</v>
      </c>
      <c r="AF197" s="1329">
        <f t="shared" si="60"/>
        <v>0</v>
      </c>
      <c r="AG197" s="1330">
        <f t="shared" si="50"/>
        <v>0</v>
      </c>
      <c r="AH197" s="1330">
        <f t="shared" si="51"/>
        <v>0</v>
      </c>
    </row>
    <row r="198" spans="2:34">
      <c r="B198" s="1687"/>
      <c r="C198" s="1687"/>
      <c r="D198" s="1687"/>
      <c r="E198" s="2152"/>
      <c r="F198" s="1326"/>
      <c r="G198" s="1327"/>
      <c r="H198" s="1326"/>
      <c r="I198" s="1327"/>
      <c r="J198" s="1687"/>
      <c r="K198" s="1687"/>
      <c r="L198" s="1687"/>
      <c r="M198" s="1328"/>
      <c r="N198" s="1328"/>
      <c r="O198" s="1687"/>
      <c r="P198" s="1687"/>
      <c r="Q198" s="1687"/>
      <c r="R198" s="1326"/>
      <c r="S198" s="1327"/>
      <c r="T198" s="1326"/>
      <c r="U198" s="1326"/>
      <c r="V198" s="1329">
        <f t="shared" si="52"/>
        <v>0</v>
      </c>
      <c r="W198" s="1329">
        <f t="shared" si="53"/>
        <v>0</v>
      </c>
      <c r="X198" s="1329">
        <f t="shared" si="54"/>
        <v>0</v>
      </c>
      <c r="Y198" s="1329">
        <f t="shared" si="55"/>
        <v>0</v>
      </c>
      <c r="Z198" s="1329">
        <f t="shared" si="56"/>
        <v>0</v>
      </c>
      <c r="AA198" s="1329">
        <f t="shared" si="57"/>
        <v>0</v>
      </c>
      <c r="AB198" s="1329"/>
      <c r="AC198" s="1329">
        <f t="shared" si="58"/>
        <v>0</v>
      </c>
      <c r="AD198" s="1329"/>
      <c r="AE198" s="1329">
        <f t="shared" si="59"/>
        <v>0</v>
      </c>
      <c r="AF198" s="1329">
        <f t="shared" si="60"/>
        <v>0</v>
      </c>
      <c r="AG198" s="1330">
        <f t="shared" si="50"/>
        <v>0</v>
      </c>
      <c r="AH198" s="1330">
        <f t="shared" si="51"/>
        <v>0</v>
      </c>
    </row>
    <row r="199" spans="2:34">
      <c r="B199" s="1687"/>
      <c r="C199" s="1687"/>
      <c r="D199" s="1687"/>
      <c r="E199" s="2152"/>
      <c r="F199" s="1326"/>
      <c r="G199" s="1327"/>
      <c r="H199" s="1326"/>
      <c r="I199" s="1327"/>
      <c r="J199" s="1687"/>
      <c r="K199" s="1687"/>
      <c r="L199" s="1687"/>
      <c r="M199" s="1328"/>
      <c r="N199" s="1328"/>
      <c r="O199" s="1687"/>
      <c r="P199" s="1687"/>
      <c r="Q199" s="1687"/>
      <c r="R199" s="1326"/>
      <c r="S199" s="1327"/>
      <c r="T199" s="1326"/>
      <c r="U199" s="1326"/>
      <c r="V199" s="1329">
        <f t="shared" si="52"/>
        <v>0</v>
      </c>
      <c r="W199" s="1329">
        <f t="shared" si="53"/>
        <v>0</v>
      </c>
      <c r="X199" s="1329">
        <f t="shared" si="54"/>
        <v>0</v>
      </c>
      <c r="Y199" s="1329">
        <f t="shared" si="55"/>
        <v>0</v>
      </c>
      <c r="Z199" s="1329">
        <f t="shared" si="56"/>
        <v>0</v>
      </c>
      <c r="AA199" s="1329">
        <f t="shared" si="57"/>
        <v>0</v>
      </c>
      <c r="AB199" s="1329"/>
      <c r="AC199" s="1329">
        <f t="shared" si="58"/>
        <v>0</v>
      </c>
      <c r="AD199" s="1329"/>
      <c r="AE199" s="1329">
        <f t="shared" si="59"/>
        <v>0</v>
      </c>
      <c r="AF199" s="1329">
        <f t="shared" si="60"/>
        <v>0</v>
      </c>
      <c r="AG199" s="1330">
        <f t="shared" si="50"/>
        <v>0</v>
      </c>
      <c r="AH199" s="1330">
        <f t="shared" si="51"/>
        <v>0</v>
      </c>
    </row>
    <row r="200" spans="2:34">
      <c r="B200" s="1687"/>
      <c r="C200" s="1687"/>
      <c r="D200" s="1687"/>
      <c r="E200" s="2152"/>
      <c r="F200" s="1326"/>
      <c r="G200" s="1327"/>
      <c r="H200" s="1326"/>
      <c r="I200" s="1327"/>
      <c r="J200" s="1687"/>
      <c r="K200" s="1687"/>
      <c r="L200" s="1687"/>
      <c r="M200" s="1328"/>
      <c r="N200" s="1328"/>
      <c r="O200" s="1687"/>
      <c r="P200" s="1687"/>
      <c r="Q200" s="1687"/>
      <c r="R200" s="1326"/>
      <c r="S200" s="1327"/>
      <c r="T200" s="1326"/>
      <c r="U200" s="1326"/>
      <c r="V200" s="1329">
        <f t="shared" si="52"/>
        <v>0</v>
      </c>
      <c r="W200" s="1329">
        <f t="shared" si="53"/>
        <v>0</v>
      </c>
      <c r="X200" s="1329">
        <f t="shared" si="54"/>
        <v>0</v>
      </c>
      <c r="Y200" s="1329">
        <f t="shared" si="55"/>
        <v>0</v>
      </c>
      <c r="Z200" s="1329">
        <f t="shared" si="56"/>
        <v>0</v>
      </c>
      <c r="AA200" s="1329">
        <f t="shared" si="57"/>
        <v>0</v>
      </c>
      <c r="AB200" s="1329"/>
      <c r="AC200" s="1329">
        <f t="shared" si="58"/>
        <v>0</v>
      </c>
      <c r="AD200" s="1329"/>
      <c r="AE200" s="1329">
        <f t="shared" si="59"/>
        <v>0</v>
      </c>
      <c r="AF200" s="1329">
        <f t="shared" si="60"/>
        <v>0</v>
      </c>
      <c r="AG200" s="1330">
        <f t="shared" si="50"/>
        <v>0</v>
      </c>
      <c r="AH200" s="1330">
        <f t="shared" si="51"/>
        <v>0</v>
      </c>
    </row>
    <row r="201" spans="2:34">
      <c r="B201" s="1687"/>
      <c r="C201" s="1687"/>
      <c r="D201" s="1687"/>
      <c r="E201" s="2152"/>
      <c r="F201" s="1326"/>
      <c r="G201" s="1327"/>
      <c r="H201" s="1326"/>
      <c r="I201" s="1327"/>
      <c r="J201" s="1687"/>
      <c r="K201" s="1687"/>
      <c r="L201" s="1687"/>
      <c r="M201" s="1328"/>
      <c r="N201" s="1328"/>
      <c r="O201" s="1687"/>
      <c r="P201" s="1687"/>
      <c r="Q201" s="1687"/>
      <c r="R201" s="1326"/>
      <c r="S201" s="1327"/>
      <c r="T201" s="1326"/>
      <c r="U201" s="1326"/>
      <c r="V201" s="1329">
        <f t="shared" si="52"/>
        <v>0</v>
      </c>
      <c r="W201" s="1329">
        <f t="shared" si="53"/>
        <v>0</v>
      </c>
      <c r="X201" s="1329">
        <f t="shared" si="54"/>
        <v>0</v>
      </c>
      <c r="Y201" s="1329">
        <f t="shared" si="55"/>
        <v>0</v>
      </c>
      <c r="Z201" s="1329">
        <f t="shared" si="56"/>
        <v>0</v>
      </c>
      <c r="AA201" s="1329">
        <f t="shared" si="57"/>
        <v>0</v>
      </c>
      <c r="AB201" s="1329"/>
      <c r="AC201" s="1329">
        <f t="shared" si="58"/>
        <v>0</v>
      </c>
      <c r="AD201" s="1329"/>
      <c r="AE201" s="1329">
        <f t="shared" si="59"/>
        <v>0</v>
      </c>
      <c r="AF201" s="1329">
        <f t="shared" si="60"/>
        <v>0</v>
      </c>
      <c r="AG201" s="1330">
        <f t="shared" si="50"/>
        <v>0</v>
      </c>
      <c r="AH201" s="1330">
        <f t="shared" si="51"/>
        <v>0</v>
      </c>
    </row>
    <row r="202" spans="2:34">
      <c r="B202" s="1687"/>
      <c r="C202" s="1687"/>
      <c r="D202" s="1687"/>
      <c r="E202" s="2152"/>
      <c r="F202" s="1326"/>
      <c r="G202" s="1327"/>
      <c r="H202" s="1326"/>
      <c r="I202" s="1327"/>
      <c r="J202" s="1687"/>
      <c r="K202" s="1687"/>
      <c r="L202" s="1687"/>
      <c r="M202" s="1328"/>
      <c r="N202" s="1328"/>
      <c r="O202" s="1687"/>
      <c r="P202" s="1687"/>
      <c r="Q202" s="1687"/>
      <c r="R202" s="1326"/>
      <c r="S202" s="1327"/>
      <c r="T202" s="1326"/>
      <c r="U202" s="1326"/>
      <c r="V202" s="1329">
        <f t="shared" si="52"/>
        <v>0</v>
      </c>
      <c r="W202" s="1329">
        <f t="shared" si="53"/>
        <v>0</v>
      </c>
      <c r="X202" s="1329">
        <f t="shared" si="54"/>
        <v>0</v>
      </c>
      <c r="Y202" s="1329">
        <f t="shared" si="55"/>
        <v>0</v>
      </c>
      <c r="Z202" s="1329">
        <f t="shared" si="56"/>
        <v>0</v>
      </c>
      <c r="AA202" s="1329">
        <f t="shared" si="57"/>
        <v>0</v>
      </c>
      <c r="AB202" s="1329"/>
      <c r="AC202" s="1329">
        <f t="shared" si="58"/>
        <v>0</v>
      </c>
      <c r="AD202" s="1329"/>
      <c r="AE202" s="1329">
        <f t="shared" si="59"/>
        <v>0</v>
      </c>
      <c r="AF202" s="1329">
        <f t="shared" si="60"/>
        <v>0</v>
      </c>
      <c r="AG202" s="1330">
        <f t="shared" si="50"/>
        <v>0</v>
      </c>
      <c r="AH202" s="1330">
        <f t="shared" si="51"/>
        <v>0</v>
      </c>
    </row>
    <row r="203" spans="2:34">
      <c r="B203" s="1687"/>
      <c r="C203" s="1687"/>
      <c r="D203" s="1687"/>
      <c r="E203" s="2152"/>
      <c r="F203" s="1326"/>
      <c r="G203" s="1327"/>
      <c r="H203" s="1326"/>
      <c r="I203" s="1327"/>
      <c r="J203" s="1687"/>
      <c r="K203" s="1687"/>
      <c r="L203" s="1687"/>
      <c r="M203" s="1328"/>
      <c r="N203" s="1328"/>
      <c r="O203" s="1687"/>
      <c r="P203" s="1687"/>
      <c r="Q203" s="1687"/>
      <c r="R203" s="1326"/>
      <c r="S203" s="1327"/>
      <c r="T203" s="1326"/>
      <c r="U203" s="1326"/>
      <c r="V203" s="1329">
        <f t="shared" si="52"/>
        <v>0</v>
      </c>
      <c r="W203" s="1329">
        <f t="shared" si="53"/>
        <v>0</v>
      </c>
      <c r="X203" s="1329">
        <f t="shared" si="54"/>
        <v>0</v>
      </c>
      <c r="Y203" s="1329">
        <f t="shared" si="55"/>
        <v>0</v>
      </c>
      <c r="Z203" s="1329">
        <f t="shared" si="56"/>
        <v>0</v>
      </c>
      <c r="AA203" s="1329">
        <f t="shared" si="57"/>
        <v>0</v>
      </c>
      <c r="AB203" s="1329"/>
      <c r="AC203" s="1329">
        <f t="shared" si="58"/>
        <v>0</v>
      </c>
      <c r="AD203" s="1329"/>
      <c r="AE203" s="1329">
        <f t="shared" si="59"/>
        <v>0</v>
      </c>
      <c r="AF203" s="1329">
        <f t="shared" si="60"/>
        <v>0</v>
      </c>
      <c r="AG203" s="1330">
        <f t="shared" ref="AG203:AG266" si="61">IF(($M203*100)&gt;100,"C110 Invalid value greater than 100",IF(($M203*100)&lt;&gt;ROUND(($M203*100),2),($M203*100)&amp;": C110 Invalid no. of decimals",0))</f>
        <v>0</v>
      </c>
      <c r="AH203" s="1330">
        <f t="shared" ref="AH203:AH266" si="62">IF(($N203*100)&gt;100,"C120 Invalid value greater than 100",IF(($N203*100)&lt;&gt;ROUND(($N203*100),2),($N203*100)&amp;": C120 Invalid no. of decimals",0))</f>
        <v>0</v>
      </c>
    </row>
    <row r="204" spans="2:34">
      <c r="B204" s="1687"/>
      <c r="C204" s="1687"/>
      <c r="D204" s="1687"/>
      <c r="E204" s="2152"/>
      <c r="F204" s="1326"/>
      <c r="G204" s="1327"/>
      <c r="H204" s="1326"/>
      <c r="I204" s="1327"/>
      <c r="J204" s="1687"/>
      <c r="K204" s="1687"/>
      <c r="L204" s="1687"/>
      <c r="M204" s="1328"/>
      <c r="N204" s="1328"/>
      <c r="O204" s="1687"/>
      <c r="P204" s="1687"/>
      <c r="Q204" s="1687"/>
      <c r="R204" s="1326"/>
      <c r="S204" s="1327"/>
      <c r="T204" s="1326"/>
      <c r="U204" s="1326"/>
      <c r="V204" s="1329">
        <f t="shared" si="52"/>
        <v>0</v>
      </c>
      <c r="W204" s="1329">
        <f t="shared" si="53"/>
        <v>0</v>
      </c>
      <c r="X204" s="1329">
        <f t="shared" si="54"/>
        <v>0</v>
      </c>
      <c r="Y204" s="1329">
        <f t="shared" si="55"/>
        <v>0</v>
      </c>
      <c r="Z204" s="1329">
        <f t="shared" si="56"/>
        <v>0</v>
      </c>
      <c r="AA204" s="1329">
        <f t="shared" si="57"/>
        <v>0</v>
      </c>
      <c r="AB204" s="1329"/>
      <c r="AC204" s="1329">
        <f t="shared" si="58"/>
        <v>0</v>
      </c>
      <c r="AD204" s="1329"/>
      <c r="AE204" s="1329">
        <f t="shared" si="59"/>
        <v>0</v>
      </c>
      <c r="AF204" s="1329">
        <f t="shared" si="60"/>
        <v>0</v>
      </c>
      <c r="AG204" s="1330">
        <f t="shared" si="61"/>
        <v>0</v>
      </c>
      <c r="AH204" s="1330">
        <f t="shared" si="62"/>
        <v>0</v>
      </c>
    </row>
    <row r="205" spans="2:34">
      <c r="B205" s="1687"/>
      <c r="C205" s="1687"/>
      <c r="D205" s="1687"/>
      <c r="E205" s="2152"/>
      <c r="F205" s="1326"/>
      <c r="G205" s="1327"/>
      <c r="H205" s="1326"/>
      <c r="I205" s="1327"/>
      <c r="J205" s="1687"/>
      <c r="K205" s="1687"/>
      <c r="L205" s="1687"/>
      <c r="M205" s="1328"/>
      <c r="N205" s="1328"/>
      <c r="O205" s="1687"/>
      <c r="P205" s="1687"/>
      <c r="Q205" s="1687"/>
      <c r="R205" s="1326"/>
      <c r="S205" s="1327"/>
      <c r="T205" s="1326"/>
      <c r="U205" s="1326"/>
      <c r="V205" s="1329">
        <f t="shared" si="52"/>
        <v>0</v>
      </c>
      <c r="W205" s="1329">
        <f t="shared" si="53"/>
        <v>0</v>
      </c>
      <c r="X205" s="1329">
        <f t="shared" si="54"/>
        <v>0</v>
      </c>
      <c r="Y205" s="1329">
        <f t="shared" si="55"/>
        <v>0</v>
      </c>
      <c r="Z205" s="1329">
        <f t="shared" si="56"/>
        <v>0</v>
      </c>
      <c r="AA205" s="1329">
        <f t="shared" si="57"/>
        <v>0</v>
      </c>
      <c r="AB205" s="1329"/>
      <c r="AC205" s="1329">
        <f t="shared" si="58"/>
        <v>0</v>
      </c>
      <c r="AD205" s="1329"/>
      <c r="AE205" s="1329">
        <f t="shared" si="59"/>
        <v>0</v>
      </c>
      <c r="AF205" s="1329">
        <f t="shared" si="60"/>
        <v>0</v>
      </c>
      <c r="AG205" s="1330">
        <f t="shared" si="61"/>
        <v>0</v>
      </c>
      <c r="AH205" s="1330">
        <f t="shared" si="62"/>
        <v>0</v>
      </c>
    </row>
    <row r="206" spans="2:34">
      <c r="B206" s="1687"/>
      <c r="C206" s="1687"/>
      <c r="D206" s="1687"/>
      <c r="E206" s="2152"/>
      <c r="F206" s="1326"/>
      <c r="G206" s="1327"/>
      <c r="H206" s="1326"/>
      <c r="I206" s="1327"/>
      <c r="J206" s="1687"/>
      <c r="K206" s="1687"/>
      <c r="L206" s="1687"/>
      <c r="M206" s="1328"/>
      <c r="N206" s="1328"/>
      <c r="O206" s="1687"/>
      <c r="P206" s="1687"/>
      <c r="Q206" s="1687"/>
      <c r="R206" s="1326"/>
      <c r="S206" s="1327"/>
      <c r="T206" s="1326"/>
      <c r="U206" s="1326"/>
      <c r="V206" s="1329">
        <f t="shared" si="52"/>
        <v>0</v>
      </c>
      <c r="W206" s="1329">
        <f t="shared" si="53"/>
        <v>0</v>
      </c>
      <c r="X206" s="1329">
        <f t="shared" si="54"/>
        <v>0</v>
      </c>
      <c r="Y206" s="1329">
        <f t="shared" si="55"/>
        <v>0</v>
      </c>
      <c r="Z206" s="1329">
        <f t="shared" si="56"/>
        <v>0</v>
      </c>
      <c r="AA206" s="1329">
        <f t="shared" si="57"/>
        <v>0</v>
      </c>
      <c r="AB206" s="1329"/>
      <c r="AC206" s="1329">
        <f t="shared" si="58"/>
        <v>0</v>
      </c>
      <c r="AD206" s="1329"/>
      <c r="AE206" s="1329">
        <f t="shared" si="59"/>
        <v>0</v>
      </c>
      <c r="AF206" s="1329">
        <f t="shared" si="60"/>
        <v>0</v>
      </c>
      <c r="AG206" s="1330">
        <f t="shared" si="61"/>
        <v>0</v>
      </c>
      <c r="AH206" s="1330">
        <f t="shared" si="62"/>
        <v>0</v>
      </c>
    </row>
    <row r="207" spans="2:34">
      <c r="B207" s="1687"/>
      <c r="C207" s="1687"/>
      <c r="D207" s="1687"/>
      <c r="E207" s="2152"/>
      <c r="F207" s="1326"/>
      <c r="G207" s="1327"/>
      <c r="H207" s="1326"/>
      <c r="I207" s="1327"/>
      <c r="J207" s="1687"/>
      <c r="K207" s="1687"/>
      <c r="L207" s="1687"/>
      <c r="M207" s="1328"/>
      <c r="N207" s="1328"/>
      <c r="O207" s="1687"/>
      <c r="P207" s="1687"/>
      <c r="Q207" s="1687"/>
      <c r="R207" s="1326"/>
      <c r="S207" s="1327"/>
      <c r="T207" s="1326"/>
      <c r="U207" s="1326"/>
      <c r="V207" s="1329">
        <f t="shared" si="52"/>
        <v>0</v>
      </c>
      <c r="W207" s="1329">
        <f t="shared" si="53"/>
        <v>0</v>
      </c>
      <c r="X207" s="1329">
        <f t="shared" si="54"/>
        <v>0</v>
      </c>
      <c r="Y207" s="1329">
        <f t="shared" si="55"/>
        <v>0</v>
      </c>
      <c r="Z207" s="1329">
        <f t="shared" si="56"/>
        <v>0</v>
      </c>
      <c r="AA207" s="1329">
        <f t="shared" si="57"/>
        <v>0</v>
      </c>
      <c r="AB207" s="1329"/>
      <c r="AC207" s="1329">
        <f t="shared" si="58"/>
        <v>0</v>
      </c>
      <c r="AD207" s="1329"/>
      <c r="AE207" s="1329">
        <f t="shared" si="59"/>
        <v>0</v>
      </c>
      <c r="AF207" s="1329">
        <f t="shared" si="60"/>
        <v>0</v>
      </c>
      <c r="AG207" s="1330">
        <f t="shared" si="61"/>
        <v>0</v>
      </c>
      <c r="AH207" s="1330">
        <f t="shared" si="62"/>
        <v>0</v>
      </c>
    </row>
    <row r="208" spans="2:34">
      <c r="B208" s="1687"/>
      <c r="C208" s="1687"/>
      <c r="D208" s="1687"/>
      <c r="E208" s="2152"/>
      <c r="F208" s="1326"/>
      <c r="G208" s="1327"/>
      <c r="H208" s="1326"/>
      <c r="I208" s="1327"/>
      <c r="J208" s="1687"/>
      <c r="K208" s="1687"/>
      <c r="L208" s="1687"/>
      <c r="M208" s="1328"/>
      <c r="N208" s="1328"/>
      <c r="O208" s="1687"/>
      <c r="P208" s="1687"/>
      <c r="Q208" s="1687"/>
      <c r="R208" s="1326"/>
      <c r="S208" s="1327"/>
      <c r="T208" s="1326"/>
      <c r="U208" s="1326"/>
      <c r="V208" s="1329">
        <f t="shared" si="52"/>
        <v>0</v>
      </c>
      <c r="W208" s="1329">
        <f t="shared" si="53"/>
        <v>0</v>
      </c>
      <c r="X208" s="1329">
        <f t="shared" si="54"/>
        <v>0</v>
      </c>
      <c r="Y208" s="1329">
        <f t="shared" si="55"/>
        <v>0</v>
      </c>
      <c r="Z208" s="1329">
        <f t="shared" si="56"/>
        <v>0</v>
      </c>
      <c r="AA208" s="1329">
        <f t="shared" si="57"/>
        <v>0</v>
      </c>
      <c r="AB208" s="1329"/>
      <c r="AC208" s="1329">
        <f t="shared" si="58"/>
        <v>0</v>
      </c>
      <c r="AD208" s="1329"/>
      <c r="AE208" s="1329">
        <f t="shared" si="59"/>
        <v>0</v>
      </c>
      <c r="AF208" s="1329">
        <f t="shared" si="60"/>
        <v>0</v>
      </c>
      <c r="AG208" s="1330">
        <f t="shared" si="61"/>
        <v>0</v>
      </c>
      <c r="AH208" s="1330">
        <f t="shared" si="62"/>
        <v>0</v>
      </c>
    </row>
    <row r="209" spans="2:34">
      <c r="B209" s="1687"/>
      <c r="C209" s="1687"/>
      <c r="D209" s="1687"/>
      <c r="E209" s="2152"/>
      <c r="F209" s="1326"/>
      <c r="G209" s="1327"/>
      <c r="H209" s="1326"/>
      <c r="I209" s="1327"/>
      <c r="J209" s="1687"/>
      <c r="K209" s="1687"/>
      <c r="L209" s="1687"/>
      <c r="M209" s="1328"/>
      <c r="N209" s="1328"/>
      <c r="O209" s="1687"/>
      <c r="P209" s="1687"/>
      <c r="Q209" s="1687"/>
      <c r="R209" s="1326"/>
      <c r="S209" s="1327"/>
      <c r="T209" s="1326"/>
      <c r="U209" s="1326"/>
      <c r="V209" s="1329">
        <f t="shared" si="52"/>
        <v>0</v>
      </c>
      <c r="W209" s="1329">
        <f t="shared" si="53"/>
        <v>0</v>
      </c>
      <c r="X209" s="1329">
        <f t="shared" si="54"/>
        <v>0</v>
      </c>
      <c r="Y209" s="1329">
        <f t="shared" si="55"/>
        <v>0</v>
      </c>
      <c r="Z209" s="1329">
        <f t="shared" si="56"/>
        <v>0</v>
      </c>
      <c r="AA209" s="1329">
        <f t="shared" si="57"/>
        <v>0</v>
      </c>
      <c r="AB209" s="1329"/>
      <c r="AC209" s="1329">
        <f t="shared" si="58"/>
        <v>0</v>
      </c>
      <c r="AD209" s="1329"/>
      <c r="AE209" s="1329">
        <f t="shared" si="59"/>
        <v>0</v>
      </c>
      <c r="AF209" s="1329">
        <f t="shared" si="60"/>
        <v>0</v>
      </c>
      <c r="AG209" s="1330">
        <f t="shared" si="61"/>
        <v>0</v>
      </c>
      <c r="AH209" s="1330">
        <f t="shared" si="62"/>
        <v>0</v>
      </c>
    </row>
    <row r="210" spans="2:34">
      <c r="B210" s="1687"/>
      <c r="C210" s="1687"/>
      <c r="D210" s="1687"/>
      <c r="E210" s="2152"/>
      <c r="F210" s="1326"/>
      <c r="G210" s="1327"/>
      <c r="H210" s="1326"/>
      <c r="I210" s="1327"/>
      <c r="J210" s="1687"/>
      <c r="K210" s="1687"/>
      <c r="L210" s="1687"/>
      <c r="M210" s="1328"/>
      <c r="N210" s="1328"/>
      <c r="O210" s="1687"/>
      <c r="P210" s="1687"/>
      <c r="Q210" s="1687"/>
      <c r="R210" s="1326"/>
      <c r="S210" s="1327"/>
      <c r="T210" s="1326"/>
      <c r="U210" s="1326"/>
      <c r="V210" s="1329">
        <f t="shared" si="52"/>
        <v>0</v>
      </c>
      <c r="W210" s="1329">
        <f t="shared" si="53"/>
        <v>0</v>
      </c>
      <c r="X210" s="1329">
        <f t="shared" si="54"/>
        <v>0</v>
      </c>
      <c r="Y210" s="1329">
        <f t="shared" si="55"/>
        <v>0</v>
      </c>
      <c r="Z210" s="1329">
        <f t="shared" si="56"/>
        <v>0</v>
      </c>
      <c r="AA210" s="1329">
        <f t="shared" si="57"/>
        <v>0</v>
      </c>
      <c r="AB210" s="1329"/>
      <c r="AC210" s="1329">
        <f t="shared" si="58"/>
        <v>0</v>
      </c>
      <c r="AD210" s="1329"/>
      <c r="AE210" s="1329">
        <f t="shared" si="59"/>
        <v>0</v>
      </c>
      <c r="AF210" s="1329">
        <f t="shared" si="60"/>
        <v>0</v>
      </c>
      <c r="AG210" s="1330">
        <f t="shared" si="61"/>
        <v>0</v>
      </c>
      <c r="AH210" s="1330">
        <f t="shared" si="62"/>
        <v>0</v>
      </c>
    </row>
    <row r="211" spans="2:34">
      <c r="B211" s="1687"/>
      <c r="C211" s="1687"/>
      <c r="D211" s="1687"/>
      <c r="E211" s="2152"/>
      <c r="F211" s="1326"/>
      <c r="G211" s="1327"/>
      <c r="H211" s="1326"/>
      <c r="I211" s="1327"/>
      <c r="J211" s="1687"/>
      <c r="K211" s="1687"/>
      <c r="L211" s="1687"/>
      <c r="M211" s="1328"/>
      <c r="N211" s="1328"/>
      <c r="O211" s="1687"/>
      <c r="P211" s="1687"/>
      <c r="Q211" s="1687"/>
      <c r="R211" s="1326"/>
      <c r="S211" s="1327"/>
      <c r="T211" s="1326"/>
      <c r="U211" s="1326"/>
      <c r="V211" s="1329">
        <f t="shared" si="52"/>
        <v>0</v>
      </c>
      <c r="W211" s="1329">
        <f t="shared" si="53"/>
        <v>0</v>
      </c>
      <c r="X211" s="1329">
        <f t="shared" si="54"/>
        <v>0</v>
      </c>
      <c r="Y211" s="1329">
        <f t="shared" si="55"/>
        <v>0</v>
      </c>
      <c r="Z211" s="1329">
        <f t="shared" si="56"/>
        <v>0</v>
      </c>
      <c r="AA211" s="1329">
        <f t="shared" si="57"/>
        <v>0</v>
      </c>
      <c r="AB211" s="1329"/>
      <c r="AC211" s="1329">
        <f t="shared" si="58"/>
        <v>0</v>
      </c>
      <c r="AD211" s="1329"/>
      <c r="AE211" s="1329">
        <f t="shared" si="59"/>
        <v>0</v>
      </c>
      <c r="AF211" s="1329">
        <f t="shared" si="60"/>
        <v>0</v>
      </c>
      <c r="AG211" s="1330">
        <f t="shared" si="61"/>
        <v>0</v>
      </c>
      <c r="AH211" s="1330">
        <f t="shared" si="62"/>
        <v>0</v>
      </c>
    </row>
    <row r="212" spans="2:34">
      <c r="B212" s="1687"/>
      <c r="C212" s="1687"/>
      <c r="D212" s="1687"/>
      <c r="E212" s="2152"/>
      <c r="F212" s="1326"/>
      <c r="G212" s="1327"/>
      <c r="H212" s="1326"/>
      <c r="I212" s="1327"/>
      <c r="J212" s="1687"/>
      <c r="K212" s="1687"/>
      <c r="L212" s="1687"/>
      <c r="M212" s="1328"/>
      <c r="N212" s="1328"/>
      <c r="O212" s="1687"/>
      <c r="P212" s="1687"/>
      <c r="Q212" s="1687"/>
      <c r="R212" s="1326"/>
      <c r="S212" s="1327"/>
      <c r="T212" s="1326"/>
      <c r="U212" s="1326"/>
      <c r="V212" s="1329">
        <f t="shared" si="52"/>
        <v>0</v>
      </c>
      <c r="W212" s="1329">
        <f t="shared" si="53"/>
        <v>0</v>
      </c>
      <c r="X212" s="1329">
        <f t="shared" si="54"/>
        <v>0</v>
      </c>
      <c r="Y212" s="1329">
        <f t="shared" si="55"/>
        <v>0</v>
      </c>
      <c r="Z212" s="1329">
        <f t="shared" si="56"/>
        <v>0</v>
      </c>
      <c r="AA212" s="1329">
        <f t="shared" si="57"/>
        <v>0</v>
      </c>
      <c r="AB212" s="1329"/>
      <c r="AC212" s="1329">
        <f t="shared" si="58"/>
        <v>0</v>
      </c>
      <c r="AD212" s="1329"/>
      <c r="AE212" s="1329">
        <f t="shared" si="59"/>
        <v>0</v>
      </c>
      <c r="AF212" s="1329">
        <f t="shared" si="60"/>
        <v>0</v>
      </c>
      <c r="AG212" s="1330">
        <f t="shared" si="61"/>
        <v>0</v>
      </c>
      <c r="AH212" s="1330">
        <f t="shared" si="62"/>
        <v>0</v>
      </c>
    </row>
    <row r="213" spans="2:34">
      <c r="B213" s="1687"/>
      <c r="C213" s="1687"/>
      <c r="D213" s="1687"/>
      <c r="E213" s="2152"/>
      <c r="F213" s="1326"/>
      <c r="G213" s="1327"/>
      <c r="H213" s="1326"/>
      <c r="I213" s="1327"/>
      <c r="J213" s="1687"/>
      <c r="K213" s="1687"/>
      <c r="L213" s="1687"/>
      <c r="M213" s="1328"/>
      <c r="N213" s="1328"/>
      <c r="O213" s="1687"/>
      <c r="P213" s="1687"/>
      <c r="Q213" s="1687"/>
      <c r="R213" s="1326"/>
      <c r="S213" s="1327"/>
      <c r="T213" s="1326"/>
      <c r="U213" s="1326"/>
      <c r="V213" s="1329">
        <f t="shared" si="52"/>
        <v>0</v>
      </c>
      <c r="W213" s="1329">
        <f t="shared" si="53"/>
        <v>0</v>
      </c>
      <c r="X213" s="1329">
        <f t="shared" si="54"/>
        <v>0</v>
      </c>
      <c r="Y213" s="1329">
        <f t="shared" si="55"/>
        <v>0</v>
      </c>
      <c r="Z213" s="1329">
        <f t="shared" si="56"/>
        <v>0</v>
      </c>
      <c r="AA213" s="1329">
        <f t="shared" si="57"/>
        <v>0</v>
      </c>
      <c r="AB213" s="1329"/>
      <c r="AC213" s="1329">
        <f t="shared" si="58"/>
        <v>0</v>
      </c>
      <c r="AD213" s="1329"/>
      <c r="AE213" s="1329">
        <f t="shared" si="59"/>
        <v>0</v>
      </c>
      <c r="AF213" s="1329">
        <f t="shared" si="60"/>
        <v>0</v>
      </c>
      <c r="AG213" s="1330">
        <f t="shared" si="61"/>
        <v>0</v>
      </c>
      <c r="AH213" s="1330">
        <f t="shared" si="62"/>
        <v>0</v>
      </c>
    </row>
    <row r="214" spans="2:34">
      <c r="B214" s="1687"/>
      <c r="C214" s="1687"/>
      <c r="D214" s="1687"/>
      <c r="E214" s="2152"/>
      <c r="F214" s="1326"/>
      <c r="G214" s="1327"/>
      <c r="H214" s="1326"/>
      <c r="I214" s="1327"/>
      <c r="J214" s="1687"/>
      <c r="K214" s="1687"/>
      <c r="L214" s="1687"/>
      <c r="M214" s="1328"/>
      <c r="N214" s="1328"/>
      <c r="O214" s="1687"/>
      <c r="P214" s="1687"/>
      <c r="Q214" s="1687"/>
      <c r="R214" s="1326"/>
      <c r="S214" s="1327"/>
      <c r="T214" s="1326"/>
      <c r="U214" s="1326"/>
      <c r="V214" s="1329">
        <f t="shared" si="52"/>
        <v>0</v>
      </c>
      <c r="W214" s="1329">
        <f t="shared" si="53"/>
        <v>0</v>
      </c>
      <c r="X214" s="1329">
        <f t="shared" si="54"/>
        <v>0</v>
      </c>
      <c r="Y214" s="1329">
        <f t="shared" si="55"/>
        <v>0</v>
      </c>
      <c r="Z214" s="1329">
        <f t="shared" si="56"/>
        <v>0</v>
      </c>
      <c r="AA214" s="1329">
        <f t="shared" si="57"/>
        <v>0</v>
      </c>
      <c r="AB214" s="1329"/>
      <c r="AC214" s="1329">
        <f t="shared" si="58"/>
        <v>0</v>
      </c>
      <c r="AD214" s="1329"/>
      <c r="AE214" s="1329">
        <f t="shared" si="59"/>
        <v>0</v>
      </c>
      <c r="AF214" s="1329">
        <f t="shared" si="60"/>
        <v>0</v>
      </c>
      <c r="AG214" s="1330">
        <f t="shared" si="61"/>
        <v>0</v>
      </c>
      <c r="AH214" s="1330">
        <f t="shared" si="62"/>
        <v>0</v>
      </c>
    </row>
    <row r="215" spans="2:34">
      <c r="B215" s="1687"/>
      <c r="C215" s="1687"/>
      <c r="D215" s="1687"/>
      <c r="E215" s="2152"/>
      <c r="F215" s="1326"/>
      <c r="G215" s="1327"/>
      <c r="H215" s="1326"/>
      <c r="I215" s="1327"/>
      <c r="J215" s="1687"/>
      <c r="K215" s="1687"/>
      <c r="L215" s="1687"/>
      <c r="M215" s="1328"/>
      <c r="N215" s="1328"/>
      <c r="O215" s="1687"/>
      <c r="P215" s="1687"/>
      <c r="Q215" s="1687"/>
      <c r="R215" s="1326"/>
      <c r="S215" s="1327"/>
      <c r="T215" s="1326"/>
      <c r="U215" s="1326"/>
      <c r="V215" s="1329">
        <f t="shared" si="52"/>
        <v>0</v>
      </c>
      <c r="W215" s="1329">
        <f t="shared" si="53"/>
        <v>0</v>
      </c>
      <c r="X215" s="1329">
        <f t="shared" si="54"/>
        <v>0</v>
      </c>
      <c r="Y215" s="1329">
        <f t="shared" si="55"/>
        <v>0</v>
      </c>
      <c r="Z215" s="1329">
        <f t="shared" si="56"/>
        <v>0</v>
      </c>
      <c r="AA215" s="1329">
        <f t="shared" si="57"/>
        <v>0</v>
      </c>
      <c r="AB215" s="1329"/>
      <c r="AC215" s="1329">
        <f t="shared" si="58"/>
        <v>0</v>
      </c>
      <c r="AD215" s="1329"/>
      <c r="AE215" s="1329">
        <f t="shared" si="59"/>
        <v>0</v>
      </c>
      <c r="AF215" s="1329">
        <f t="shared" si="60"/>
        <v>0</v>
      </c>
      <c r="AG215" s="1330">
        <f t="shared" si="61"/>
        <v>0</v>
      </c>
      <c r="AH215" s="1330">
        <f t="shared" si="62"/>
        <v>0</v>
      </c>
    </row>
    <row r="216" spans="2:34">
      <c r="B216" s="1687"/>
      <c r="C216" s="1687"/>
      <c r="D216" s="1687"/>
      <c r="E216" s="2152"/>
      <c r="F216" s="1326"/>
      <c r="G216" s="1327"/>
      <c r="H216" s="1326"/>
      <c r="I216" s="1327"/>
      <c r="J216" s="1687"/>
      <c r="K216" s="1687"/>
      <c r="L216" s="1687"/>
      <c r="M216" s="1328"/>
      <c r="N216" s="1328"/>
      <c r="O216" s="1687"/>
      <c r="P216" s="1687"/>
      <c r="Q216" s="1687"/>
      <c r="R216" s="1326"/>
      <c r="S216" s="1327"/>
      <c r="T216" s="1326"/>
      <c r="U216" s="1326"/>
      <c r="V216" s="1329">
        <f t="shared" si="52"/>
        <v>0</v>
      </c>
      <c r="W216" s="1329">
        <f t="shared" si="53"/>
        <v>0</v>
      </c>
      <c r="X216" s="1329">
        <f t="shared" si="54"/>
        <v>0</v>
      </c>
      <c r="Y216" s="1329">
        <f t="shared" si="55"/>
        <v>0</v>
      </c>
      <c r="Z216" s="1329">
        <f t="shared" si="56"/>
        <v>0</v>
      </c>
      <c r="AA216" s="1329">
        <f t="shared" si="57"/>
        <v>0</v>
      </c>
      <c r="AB216" s="1329"/>
      <c r="AC216" s="1329">
        <f t="shared" si="58"/>
        <v>0</v>
      </c>
      <c r="AD216" s="1329"/>
      <c r="AE216" s="1329">
        <f t="shared" si="59"/>
        <v>0</v>
      </c>
      <c r="AF216" s="1329">
        <f t="shared" si="60"/>
        <v>0</v>
      </c>
      <c r="AG216" s="1330">
        <f t="shared" si="61"/>
        <v>0</v>
      </c>
      <c r="AH216" s="1330">
        <f t="shared" si="62"/>
        <v>0</v>
      </c>
    </row>
    <row r="217" spans="2:34">
      <c r="B217" s="1687"/>
      <c r="C217" s="1687"/>
      <c r="D217" s="1687"/>
      <c r="E217" s="2152"/>
      <c r="F217" s="1326"/>
      <c r="G217" s="1327"/>
      <c r="H217" s="1326"/>
      <c r="I217" s="1327"/>
      <c r="J217" s="1687"/>
      <c r="K217" s="1687"/>
      <c r="L217" s="1687"/>
      <c r="M217" s="1328"/>
      <c r="N217" s="1328"/>
      <c r="O217" s="1687"/>
      <c r="P217" s="1687"/>
      <c r="Q217" s="1687"/>
      <c r="R217" s="1326"/>
      <c r="S217" s="1327"/>
      <c r="T217" s="1326"/>
      <c r="U217" s="1326"/>
      <c r="V217" s="1329">
        <f t="shared" si="52"/>
        <v>0</v>
      </c>
      <c r="W217" s="1329">
        <f t="shared" si="53"/>
        <v>0</v>
      </c>
      <c r="X217" s="1329">
        <f t="shared" si="54"/>
        <v>0</v>
      </c>
      <c r="Y217" s="1329">
        <f t="shared" si="55"/>
        <v>0</v>
      </c>
      <c r="Z217" s="1329">
        <f t="shared" si="56"/>
        <v>0</v>
      </c>
      <c r="AA217" s="1329">
        <f t="shared" si="57"/>
        <v>0</v>
      </c>
      <c r="AB217" s="1329"/>
      <c r="AC217" s="1329">
        <f t="shared" si="58"/>
        <v>0</v>
      </c>
      <c r="AD217" s="1329"/>
      <c r="AE217" s="1329">
        <f t="shared" si="59"/>
        <v>0</v>
      </c>
      <c r="AF217" s="1329">
        <f t="shared" si="60"/>
        <v>0</v>
      </c>
      <c r="AG217" s="1330">
        <f t="shared" si="61"/>
        <v>0</v>
      </c>
      <c r="AH217" s="1330">
        <f t="shared" si="62"/>
        <v>0</v>
      </c>
    </row>
    <row r="218" spans="2:34">
      <c r="B218" s="1687"/>
      <c r="C218" s="1687"/>
      <c r="D218" s="1687"/>
      <c r="E218" s="2152"/>
      <c r="F218" s="1326"/>
      <c r="G218" s="1327"/>
      <c r="H218" s="1326"/>
      <c r="I218" s="1327"/>
      <c r="J218" s="1687"/>
      <c r="K218" s="1687"/>
      <c r="L218" s="1687"/>
      <c r="M218" s="1328"/>
      <c r="N218" s="1328"/>
      <c r="O218" s="1687"/>
      <c r="P218" s="1687"/>
      <c r="Q218" s="1687"/>
      <c r="R218" s="1326"/>
      <c r="S218" s="1327"/>
      <c r="T218" s="1326"/>
      <c r="U218" s="1326"/>
      <c r="V218" s="1329">
        <f t="shared" si="52"/>
        <v>0</v>
      </c>
      <c r="W218" s="1329">
        <f t="shared" si="53"/>
        <v>0</v>
      </c>
      <c r="X218" s="1329">
        <f t="shared" si="54"/>
        <v>0</v>
      </c>
      <c r="Y218" s="1329">
        <f t="shared" si="55"/>
        <v>0</v>
      </c>
      <c r="Z218" s="1329">
        <f t="shared" si="56"/>
        <v>0</v>
      </c>
      <c r="AA218" s="1329">
        <f t="shared" si="57"/>
        <v>0</v>
      </c>
      <c r="AB218" s="1329"/>
      <c r="AC218" s="1329">
        <f t="shared" si="58"/>
        <v>0</v>
      </c>
      <c r="AD218" s="1329"/>
      <c r="AE218" s="1329">
        <f t="shared" si="59"/>
        <v>0</v>
      </c>
      <c r="AF218" s="1329">
        <f t="shared" si="60"/>
        <v>0</v>
      </c>
      <c r="AG218" s="1330">
        <f t="shared" si="61"/>
        <v>0</v>
      </c>
      <c r="AH218" s="1330">
        <f t="shared" si="62"/>
        <v>0</v>
      </c>
    </row>
    <row r="219" spans="2:34">
      <c r="B219" s="1687"/>
      <c r="C219" s="1687"/>
      <c r="D219" s="1687"/>
      <c r="E219" s="2152"/>
      <c r="F219" s="1326"/>
      <c r="G219" s="1327"/>
      <c r="H219" s="1326"/>
      <c r="I219" s="1327"/>
      <c r="J219" s="1687"/>
      <c r="K219" s="1687"/>
      <c r="L219" s="1687"/>
      <c r="M219" s="1328"/>
      <c r="N219" s="1328"/>
      <c r="O219" s="1687"/>
      <c r="P219" s="1687"/>
      <c r="Q219" s="1687"/>
      <c r="R219" s="1326"/>
      <c r="S219" s="1327"/>
      <c r="T219" s="1326"/>
      <c r="U219" s="1326"/>
      <c r="V219" s="1329">
        <f t="shared" si="52"/>
        <v>0</v>
      </c>
      <c r="W219" s="1329">
        <f t="shared" si="53"/>
        <v>0</v>
      </c>
      <c r="X219" s="1329">
        <f t="shared" si="54"/>
        <v>0</v>
      </c>
      <c r="Y219" s="1329">
        <f t="shared" si="55"/>
        <v>0</v>
      </c>
      <c r="Z219" s="1329">
        <f t="shared" si="56"/>
        <v>0</v>
      </c>
      <c r="AA219" s="1329">
        <f t="shared" si="57"/>
        <v>0</v>
      </c>
      <c r="AB219" s="1329"/>
      <c r="AC219" s="1329">
        <f t="shared" si="58"/>
        <v>0</v>
      </c>
      <c r="AD219" s="1329"/>
      <c r="AE219" s="1329">
        <f t="shared" si="59"/>
        <v>0</v>
      </c>
      <c r="AF219" s="1329">
        <f t="shared" si="60"/>
        <v>0</v>
      </c>
      <c r="AG219" s="1330">
        <f t="shared" si="61"/>
        <v>0</v>
      </c>
      <c r="AH219" s="1330">
        <f t="shared" si="62"/>
        <v>0</v>
      </c>
    </row>
    <row r="220" spans="2:34">
      <c r="B220" s="1687"/>
      <c r="C220" s="1687"/>
      <c r="D220" s="1687"/>
      <c r="E220" s="2152"/>
      <c r="F220" s="1326"/>
      <c r="G220" s="1327"/>
      <c r="H220" s="1326"/>
      <c r="I220" s="1327"/>
      <c r="J220" s="1687"/>
      <c r="K220" s="1687"/>
      <c r="L220" s="1687"/>
      <c r="M220" s="1328"/>
      <c r="N220" s="1328"/>
      <c r="O220" s="1687"/>
      <c r="P220" s="1687"/>
      <c r="Q220" s="1687"/>
      <c r="R220" s="1326"/>
      <c r="S220" s="1327"/>
      <c r="T220" s="1326"/>
      <c r="U220" s="1326"/>
      <c r="V220" s="1329">
        <f t="shared" si="52"/>
        <v>0</v>
      </c>
      <c r="W220" s="1329">
        <f t="shared" si="53"/>
        <v>0</v>
      </c>
      <c r="X220" s="1329">
        <f t="shared" si="54"/>
        <v>0</v>
      </c>
      <c r="Y220" s="1329">
        <f t="shared" si="55"/>
        <v>0</v>
      </c>
      <c r="Z220" s="1329">
        <f t="shared" si="56"/>
        <v>0</v>
      </c>
      <c r="AA220" s="1329">
        <f t="shared" si="57"/>
        <v>0</v>
      </c>
      <c r="AB220" s="1329"/>
      <c r="AC220" s="1329">
        <f t="shared" si="58"/>
        <v>0</v>
      </c>
      <c r="AD220" s="1329"/>
      <c r="AE220" s="1329">
        <f t="shared" si="59"/>
        <v>0</v>
      </c>
      <c r="AF220" s="1329">
        <f t="shared" si="60"/>
        <v>0</v>
      </c>
      <c r="AG220" s="1330">
        <f t="shared" si="61"/>
        <v>0</v>
      </c>
      <c r="AH220" s="1330">
        <f t="shared" si="62"/>
        <v>0</v>
      </c>
    </row>
    <row r="221" spans="2:34">
      <c r="B221" s="1687"/>
      <c r="C221" s="1687"/>
      <c r="D221" s="1687"/>
      <c r="E221" s="2152"/>
      <c r="F221" s="1326"/>
      <c r="G221" s="1327"/>
      <c r="H221" s="1326"/>
      <c r="I221" s="1327"/>
      <c r="J221" s="1687"/>
      <c r="K221" s="1687"/>
      <c r="L221" s="1687"/>
      <c r="M221" s="1328"/>
      <c r="N221" s="1328"/>
      <c r="O221" s="1687"/>
      <c r="P221" s="1687"/>
      <c r="Q221" s="1687"/>
      <c r="R221" s="1326"/>
      <c r="S221" s="1327"/>
      <c r="T221" s="1326"/>
      <c r="U221" s="1326"/>
      <c r="V221" s="1329">
        <f t="shared" si="52"/>
        <v>0</v>
      </c>
      <c r="W221" s="1329">
        <f t="shared" si="53"/>
        <v>0</v>
      </c>
      <c r="X221" s="1329">
        <f t="shared" si="54"/>
        <v>0</v>
      </c>
      <c r="Y221" s="1329">
        <f t="shared" si="55"/>
        <v>0</v>
      </c>
      <c r="Z221" s="1329">
        <f t="shared" si="56"/>
        <v>0</v>
      </c>
      <c r="AA221" s="1329">
        <f t="shared" si="57"/>
        <v>0</v>
      </c>
      <c r="AB221" s="1329"/>
      <c r="AC221" s="1329">
        <f t="shared" si="58"/>
        <v>0</v>
      </c>
      <c r="AD221" s="1329"/>
      <c r="AE221" s="1329">
        <f t="shared" si="59"/>
        <v>0</v>
      </c>
      <c r="AF221" s="1329">
        <f t="shared" si="60"/>
        <v>0</v>
      </c>
      <c r="AG221" s="1330">
        <f t="shared" si="61"/>
        <v>0</v>
      </c>
      <c r="AH221" s="1330">
        <f t="shared" si="62"/>
        <v>0</v>
      </c>
    </row>
    <row r="222" spans="2:34">
      <c r="B222" s="1687"/>
      <c r="C222" s="1687"/>
      <c r="D222" s="1687"/>
      <c r="E222" s="2152"/>
      <c r="F222" s="1326"/>
      <c r="G222" s="1327"/>
      <c r="H222" s="1326"/>
      <c r="I222" s="1327"/>
      <c r="J222" s="1687"/>
      <c r="K222" s="1687"/>
      <c r="L222" s="1687"/>
      <c r="M222" s="1328"/>
      <c r="N222" s="1328"/>
      <c r="O222" s="1687"/>
      <c r="P222" s="1687"/>
      <c r="Q222" s="1687"/>
      <c r="R222" s="1326"/>
      <c r="S222" s="1327"/>
      <c r="T222" s="1326"/>
      <c r="U222" s="1326"/>
      <c r="V222" s="1329">
        <f t="shared" si="52"/>
        <v>0</v>
      </c>
      <c r="W222" s="1329">
        <f t="shared" si="53"/>
        <v>0</v>
      </c>
      <c r="X222" s="1329">
        <f t="shared" si="54"/>
        <v>0</v>
      </c>
      <c r="Y222" s="1329">
        <f t="shared" si="55"/>
        <v>0</v>
      </c>
      <c r="Z222" s="1329">
        <f t="shared" si="56"/>
        <v>0</v>
      </c>
      <c r="AA222" s="1329">
        <f t="shared" si="57"/>
        <v>0</v>
      </c>
      <c r="AB222" s="1329"/>
      <c r="AC222" s="1329">
        <f t="shared" si="58"/>
        <v>0</v>
      </c>
      <c r="AD222" s="1329"/>
      <c r="AE222" s="1329">
        <f t="shared" si="59"/>
        <v>0</v>
      </c>
      <c r="AF222" s="1329">
        <f t="shared" si="60"/>
        <v>0</v>
      </c>
      <c r="AG222" s="1330">
        <f t="shared" si="61"/>
        <v>0</v>
      </c>
      <c r="AH222" s="1330">
        <f t="shared" si="62"/>
        <v>0</v>
      </c>
    </row>
    <row r="223" spans="2:34">
      <c r="B223" s="1687"/>
      <c r="C223" s="1687"/>
      <c r="D223" s="1687"/>
      <c r="E223" s="2152"/>
      <c r="F223" s="1326"/>
      <c r="G223" s="1327"/>
      <c r="H223" s="1326"/>
      <c r="I223" s="1327"/>
      <c r="J223" s="1687"/>
      <c r="K223" s="1687"/>
      <c r="L223" s="1687"/>
      <c r="M223" s="1328"/>
      <c r="N223" s="1328"/>
      <c r="O223" s="1687"/>
      <c r="P223" s="1687"/>
      <c r="Q223" s="1687"/>
      <c r="R223" s="1326"/>
      <c r="S223" s="1327"/>
      <c r="T223" s="1326"/>
      <c r="U223" s="1326"/>
      <c r="V223" s="1329">
        <f t="shared" si="52"/>
        <v>0</v>
      </c>
      <c r="W223" s="1329">
        <f t="shared" si="53"/>
        <v>0</v>
      </c>
      <c r="X223" s="1329">
        <f t="shared" si="54"/>
        <v>0</v>
      </c>
      <c r="Y223" s="1329">
        <f t="shared" si="55"/>
        <v>0</v>
      </c>
      <c r="Z223" s="1329">
        <f t="shared" si="56"/>
        <v>0</v>
      </c>
      <c r="AA223" s="1329">
        <f t="shared" si="57"/>
        <v>0</v>
      </c>
      <c r="AB223" s="1329"/>
      <c r="AC223" s="1329">
        <f t="shared" si="58"/>
        <v>0</v>
      </c>
      <c r="AD223" s="1329"/>
      <c r="AE223" s="1329">
        <f t="shared" si="59"/>
        <v>0</v>
      </c>
      <c r="AF223" s="1329">
        <f t="shared" si="60"/>
        <v>0</v>
      </c>
      <c r="AG223" s="1330">
        <f t="shared" si="61"/>
        <v>0</v>
      </c>
      <c r="AH223" s="1330">
        <f t="shared" si="62"/>
        <v>0</v>
      </c>
    </row>
    <row r="224" spans="2:34">
      <c r="B224" s="1687"/>
      <c r="C224" s="1687"/>
      <c r="D224" s="1687"/>
      <c r="E224" s="2152"/>
      <c r="F224" s="1326"/>
      <c r="G224" s="1327"/>
      <c r="H224" s="1326"/>
      <c r="I224" s="1327"/>
      <c r="J224" s="1687"/>
      <c r="K224" s="1687"/>
      <c r="L224" s="1687"/>
      <c r="M224" s="1328"/>
      <c r="N224" s="1328"/>
      <c r="O224" s="1687"/>
      <c r="P224" s="1687"/>
      <c r="Q224" s="1687"/>
      <c r="R224" s="1326"/>
      <c r="S224" s="1327"/>
      <c r="T224" s="1326"/>
      <c r="U224" s="1326"/>
      <c r="V224" s="1329">
        <f t="shared" si="52"/>
        <v>0</v>
      </c>
      <c r="W224" s="1329">
        <f t="shared" si="53"/>
        <v>0</v>
      </c>
      <c r="X224" s="1329">
        <f t="shared" si="54"/>
        <v>0</v>
      </c>
      <c r="Y224" s="1329">
        <f t="shared" si="55"/>
        <v>0</v>
      </c>
      <c r="Z224" s="1329">
        <f t="shared" si="56"/>
        <v>0</v>
      </c>
      <c r="AA224" s="1329">
        <f t="shared" si="57"/>
        <v>0</v>
      </c>
      <c r="AB224" s="1329"/>
      <c r="AC224" s="1329">
        <f t="shared" si="58"/>
        <v>0</v>
      </c>
      <c r="AD224" s="1329"/>
      <c r="AE224" s="1329">
        <f t="shared" si="59"/>
        <v>0</v>
      </c>
      <c r="AF224" s="1329">
        <f t="shared" si="60"/>
        <v>0</v>
      </c>
      <c r="AG224" s="1330">
        <f t="shared" si="61"/>
        <v>0</v>
      </c>
      <c r="AH224" s="1330">
        <f t="shared" si="62"/>
        <v>0</v>
      </c>
    </row>
    <row r="225" spans="2:34">
      <c r="B225" s="1687"/>
      <c r="C225" s="1687"/>
      <c r="D225" s="1687"/>
      <c r="E225" s="2152"/>
      <c r="F225" s="1326"/>
      <c r="G225" s="1327"/>
      <c r="H225" s="1326"/>
      <c r="I225" s="1327"/>
      <c r="J225" s="1687"/>
      <c r="K225" s="1687"/>
      <c r="L225" s="1687"/>
      <c r="M225" s="1328"/>
      <c r="N225" s="1328"/>
      <c r="O225" s="1687"/>
      <c r="P225" s="1687"/>
      <c r="Q225" s="1687"/>
      <c r="R225" s="1326"/>
      <c r="S225" s="1327"/>
      <c r="T225" s="1326"/>
      <c r="U225" s="1326"/>
      <c r="V225" s="1329">
        <f t="shared" si="52"/>
        <v>0</v>
      </c>
      <c r="W225" s="1329">
        <f t="shared" si="53"/>
        <v>0</v>
      </c>
      <c r="X225" s="1329">
        <f t="shared" si="54"/>
        <v>0</v>
      </c>
      <c r="Y225" s="1329">
        <f t="shared" si="55"/>
        <v>0</v>
      </c>
      <c r="Z225" s="1329">
        <f t="shared" si="56"/>
        <v>0</v>
      </c>
      <c r="AA225" s="1329">
        <f t="shared" si="57"/>
        <v>0</v>
      </c>
      <c r="AB225" s="1329"/>
      <c r="AC225" s="1329">
        <f t="shared" si="58"/>
        <v>0</v>
      </c>
      <c r="AD225" s="1329"/>
      <c r="AE225" s="1329">
        <f t="shared" si="59"/>
        <v>0</v>
      </c>
      <c r="AF225" s="1329">
        <f t="shared" si="60"/>
        <v>0</v>
      </c>
      <c r="AG225" s="1330">
        <f t="shared" si="61"/>
        <v>0</v>
      </c>
      <c r="AH225" s="1330">
        <f t="shared" si="62"/>
        <v>0</v>
      </c>
    </row>
    <row r="226" spans="2:34">
      <c r="B226" s="1687"/>
      <c r="C226" s="1687"/>
      <c r="D226" s="1687"/>
      <c r="E226" s="2152"/>
      <c r="F226" s="1326"/>
      <c r="G226" s="1327"/>
      <c r="H226" s="1326"/>
      <c r="I226" s="1327"/>
      <c r="J226" s="1687"/>
      <c r="K226" s="1687"/>
      <c r="L226" s="1687"/>
      <c r="M226" s="1328"/>
      <c r="N226" s="1328"/>
      <c r="O226" s="1687"/>
      <c r="P226" s="1687"/>
      <c r="Q226" s="1687"/>
      <c r="R226" s="1326"/>
      <c r="S226" s="1327"/>
      <c r="T226" s="1326"/>
      <c r="U226" s="1326"/>
      <c r="V226" s="1329">
        <f t="shared" si="52"/>
        <v>0</v>
      </c>
      <c r="W226" s="1329">
        <f t="shared" si="53"/>
        <v>0</v>
      </c>
      <c r="X226" s="1329">
        <f t="shared" si="54"/>
        <v>0</v>
      </c>
      <c r="Y226" s="1329">
        <f t="shared" si="55"/>
        <v>0</v>
      </c>
      <c r="Z226" s="1329">
        <f t="shared" si="56"/>
        <v>0</v>
      </c>
      <c r="AA226" s="1329">
        <f t="shared" si="57"/>
        <v>0</v>
      </c>
      <c r="AB226" s="1329"/>
      <c r="AC226" s="1329">
        <f t="shared" si="58"/>
        <v>0</v>
      </c>
      <c r="AD226" s="1329"/>
      <c r="AE226" s="1329">
        <f t="shared" si="59"/>
        <v>0</v>
      </c>
      <c r="AF226" s="1329">
        <f t="shared" si="60"/>
        <v>0</v>
      </c>
      <c r="AG226" s="1330">
        <f t="shared" si="61"/>
        <v>0</v>
      </c>
      <c r="AH226" s="1330">
        <f t="shared" si="62"/>
        <v>0</v>
      </c>
    </row>
    <row r="227" spans="2:34">
      <c r="B227" s="1687"/>
      <c r="C227" s="1687"/>
      <c r="D227" s="1687"/>
      <c r="E227" s="2152"/>
      <c r="F227" s="1326"/>
      <c r="G227" s="1327"/>
      <c r="H227" s="1326"/>
      <c r="I227" s="1327"/>
      <c r="J227" s="1687"/>
      <c r="K227" s="1687"/>
      <c r="L227" s="1687"/>
      <c r="M227" s="1328"/>
      <c r="N227" s="1328"/>
      <c r="O227" s="1687"/>
      <c r="P227" s="1687"/>
      <c r="Q227" s="1687"/>
      <c r="R227" s="1326"/>
      <c r="S227" s="1327"/>
      <c r="T227" s="1326"/>
      <c r="U227" s="1326"/>
      <c r="V227" s="1329">
        <f t="shared" si="52"/>
        <v>0</v>
      </c>
      <c r="W227" s="1329">
        <f t="shared" si="53"/>
        <v>0</v>
      </c>
      <c r="X227" s="1329">
        <f t="shared" si="54"/>
        <v>0</v>
      </c>
      <c r="Y227" s="1329">
        <f t="shared" si="55"/>
        <v>0</v>
      </c>
      <c r="Z227" s="1329">
        <f t="shared" si="56"/>
        <v>0</v>
      </c>
      <c r="AA227" s="1329">
        <f t="shared" si="57"/>
        <v>0</v>
      </c>
      <c r="AB227" s="1329"/>
      <c r="AC227" s="1329">
        <f t="shared" si="58"/>
        <v>0</v>
      </c>
      <c r="AD227" s="1329"/>
      <c r="AE227" s="1329">
        <f t="shared" si="59"/>
        <v>0</v>
      </c>
      <c r="AF227" s="1329">
        <f t="shared" si="60"/>
        <v>0</v>
      </c>
      <c r="AG227" s="1330">
        <f t="shared" si="61"/>
        <v>0</v>
      </c>
      <c r="AH227" s="1330">
        <f t="shared" si="62"/>
        <v>0</v>
      </c>
    </row>
    <row r="228" spans="2:34">
      <c r="B228" s="1687"/>
      <c r="C228" s="1687"/>
      <c r="D228" s="1687"/>
      <c r="E228" s="2152"/>
      <c r="F228" s="1326"/>
      <c r="G228" s="1327"/>
      <c r="H228" s="1326"/>
      <c r="I228" s="1327"/>
      <c r="J228" s="1687"/>
      <c r="K228" s="1687"/>
      <c r="L228" s="1687"/>
      <c r="M228" s="1328"/>
      <c r="N228" s="1328"/>
      <c r="O228" s="1687"/>
      <c r="P228" s="1687"/>
      <c r="Q228" s="1687"/>
      <c r="R228" s="1326"/>
      <c r="S228" s="1327"/>
      <c r="T228" s="1326"/>
      <c r="U228" s="1326"/>
      <c r="V228" s="1329">
        <f t="shared" si="52"/>
        <v>0</v>
      </c>
      <c r="W228" s="1329">
        <f t="shared" si="53"/>
        <v>0</v>
      </c>
      <c r="X228" s="1329">
        <f t="shared" si="54"/>
        <v>0</v>
      </c>
      <c r="Y228" s="1329">
        <f t="shared" si="55"/>
        <v>0</v>
      </c>
      <c r="Z228" s="1329">
        <f t="shared" si="56"/>
        <v>0</v>
      </c>
      <c r="AA228" s="1329">
        <f t="shared" si="57"/>
        <v>0</v>
      </c>
      <c r="AB228" s="1329"/>
      <c r="AC228" s="1329">
        <f t="shared" si="58"/>
        <v>0</v>
      </c>
      <c r="AD228" s="1329"/>
      <c r="AE228" s="1329">
        <f t="shared" si="59"/>
        <v>0</v>
      </c>
      <c r="AF228" s="1329">
        <f t="shared" si="60"/>
        <v>0</v>
      </c>
      <c r="AG228" s="1330">
        <f t="shared" si="61"/>
        <v>0</v>
      </c>
      <c r="AH228" s="1330">
        <f t="shared" si="62"/>
        <v>0</v>
      </c>
    </row>
    <row r="229" spans="2:34">
      <c r="B229" s="1687"/>
      <c r="C229" s="1687"/>
      <c r="D229" s="1687"/>
      <c r="E229" s="2152"/>
      <c r="F229" s="1326"/>
      <c r="G229" s="1327"/>
      <c r="H229" s="1326"/>
      <c r="I229" s="1327"/>
      <c r="J229" s="1687"/>
      <c r="K229" s="1687"/>
      <c r="L229" s="1687"/>
      <c r="M229" s="1328"/>
      <c r="N229" s="1328"/>
      <c r="O229" s="1687"/>
      <c r="P229" s="1687"/>
      <c r="Q229" s="1687"/>
      <c r="R229" s="1326"/>
      <c r="S229" s="1327"/>
      <c r="T229" s="1326"/>
      <c r="U229" s="1326"/>
      <c r="V229" s="1329">
        <f t="shared" si="52"/>
        <v>0</v>
      </c>
      <c r="W229" s="1329">
        <f t="shared" si="53"/>
        <v>0</v>
      </c>
      <c r="X229" s="1329">
        <f t="shared" si="54"/>
        <v>0</v>
      </c>
      <c r="Y229" s="1329">
        <f t="shared" si="55"/>
        <v>0</v>
      </c>
      <c r="Z229" s="1329">
        <f t="shared" si="56"/>
        <v>0</v>
      </c>
      <c r="AA229" s="1329">
        <f t="shared" si="57"/>
        <v>0</v>
      </c>
      <c r="AB229" s="1329"/>
      <c r="AC229" s="1329">
        <f t="shared" si="58"/>
        <v>0</v>
      </c>
      <c r="AD229" s="1329"/>
      <c r="AE229" s="1329">
        <f t="shared" si="59"/>
        <v>0</v>
      </c>
      <c r="AF229" s="1329">
        <f t="shared" si="60"/>
        <v>0</v>
      </c>
      <c r="AG229" s="1330">
        <f t="shared" si="61"/>
        <v>0</v>
      </c>
      <c r="AH229" s="1330">
        <f t="shared" si="62"/>
        <v>0</v>
      </c>
    </row>
    <row r="230" spans="2:34">
      <c r="B230" s="1687"/>
      <c r="C230" s="1687"/>
      <c r="D230" s="1687"/>
      <c r="E230" s="2152"/>
      <c r="F230" s="1326"/>
      <c r="G230" s="1327"/>
      <c r="H230" s="1326"/>
      <c r="I230" s="1327"/>
      <c r="J230" s="1687"/>
      <c r="K230" s="1687"/>
      <c r="L230" s="1687"/>
      <c r="M230" s="1328"/>
      <c r="N230" s="1328"/>
      <c r="O230" s="1687"/>
      <c r="P230" s="1687"/>
      <c r="Q230" s="1687"/>
      <c r="R230" s="1326"/>
      <c r="S230" s="1327"/>
      <c r="T230" s="1326"/>
      <c r="U230" s="1326"/>
      <c r="V230" s="1329">
        <f t="shared" si="52"/>
        <v>0</v>
      </c>
      <c r="W230" s="1329">
        <f t="shared" si="53"/>
        <v>0</v>
      </c>
      <c r="X230" s="1329">
        <f t="shared" si="54"/>
        <v>0</v>
      </c>
      <c r="Y230" s="1329">
        <f t="shared" si="55"/>
        <v>0</v>
      </c>
      <c r="Z230" s="1329">
        <f t="shared" si="56"/>
        <v>0</v>
      </c>
      <c r="AA230" s="1329">
        <f t="shared" si="57"/>
        <v>0</v>
      </c>
      <c r="AB230" s="1329"/>
      <c r="AC230" s="1329">
        <f t="shared" si="58"/>
        <v>0</v>
      </c>
      <c r="AD230" s="1329"/>
      <c r="AE230" s="1329">
        <f t="shared" si="59"/>
        <v>0</v>
      </c>
      <c r="AF230" s="1329">
        <f t="shared" si="60"/>
        <v>0</v>
      </c>
      <c r="AG230" s="1330">
        <f t="shared" si="61"/>
        <v>0</v>
      </c>
      <c r="AH230" s="1330">
        <f t="shared" si="62"/>
        <v>0</v>
      </c>
    </row>
    <row r="231" spans="2:34">
      <c r="B231" s="1687"/>
      <c r="C231" s="1687"/>
      <c r="D231" s="1687"/>
      <c r="E231" s="2152"/>
      <c r="F231" s="1326"/>
      <c r="G231" s="1327"/>
      <c r="H231" s="1326"/>
      <c r="I231" s="1327"/>
      <c r="J231" s="1687"/>
      <c r="K231" s="1687"/>
      <c r="L231" s="1687"/>
      <c r="M231" s="1328"/>
      <c r="N231" s="1328"/>
      <c r="O231" s="1687"/>
      <c r="P231" s="1687"/>
      <c r="Q231" s="1687"/>
      <c r="R231" s="1326"/>
      <c r="S231" s="1327"/>
      <c r="T231" s="1326"/>
      <c r="U231" s="1326"/>
      <c r="V231" s="1329">
        <f t="shared" si="52"/>
        <v>0</v>
      </c>
      <c r="W231" s="1329">
        <f t="shared" si="53"/>
        <v>0</v>
      </c>
      <c r="X231" s="1329">
        <f t="shared" si="54"/>
        <v>0</v>
      </c>
      <c r="Y231" s="1329">
        <f t="shared" si="55"/>
        <v>0</v>
      </c>
      <c r="Z231" s="1329">
        <f t="shared" si="56"/>
        <v>0</v>
      </c>
      <c r="AA231" s="1329">
        <f t="shared" si="57"/>
        <v>0</v>
      </c>
      <c r="AB231" s="1329"/>
      <c r="AC231" s="1329">
        <f t="shared" si="58"/>
        <v>0</v>
      </c>
      <c r="AD231" s="1329"/>
      <c r="AE231" s="1329">
        <f t="shared" si="59"/>
        <v>0</v>
      </c>
      <c r="AF231" s="1329">
        <f t="shared" si="60"/>
        <v>0</v>
      </c>
      <c r="AG231" s="1330">
        <f t="shared" si="61"/>
        <v>0</v>
      </c>
      <c r="AH231" s="1330">
        <f t="shared" si="62"/>
        <v>0</v>
      </c>
    </row>
    <row r="232" spans="2:34">
      <c r="B232" s="1687"/>
      <c r="C232" s="1687"/>
      <c r="D232" s="1687"/>
      <c r="E232" s="2152"/>
      <c r="F232" s="1326"/>
      <c r="G232" s="1327"/>
      <c r="H232" s="1326"/>
      <c r="I232" s="1327"/>
      <c r="J232" s="1687"/>
      <c r="K232" s="1687"/>
      <c r="L232" s="1687"/>
      <c r="M232" s="1328"/>
      <c r="N232" s="1328"/>
      <c r="O232" s="1687"/>
      <c r="P232" s="1687"/>
      <c r="Q232" s="1687"/>
      <c r="R232" s="1326"/>
      <c r="S232" s="1327"/>
      <c r="T232" s="1326"/>
      <c r="U232" s="1326"/>
      <c r="V232" s="1329">
        <f t="shared" si="52"/>
        <v>0</v>
      </c>
      <c r="W232" s="1329">
        <f t="shared" si="53"/>
        <v>0</v>
      </c>
      <c r="X232" s="1329">
        <f t="shared" si="54"/>
        <v>0</v>
      </c>
      <c r="Y232" s="1329">
        <f t="shared" si="55"/>
        <v>0</v>
      </c>
      <c r="Z232" s="1329">
        <f t="shared" si="56"/>
        <v>0</v>
      </c>
      <c r="AA232" s="1329">
        <f t="shared" si="57"/>
        <v>0</v>
      </c>
      <c r="AB232" s="1329"/>
      <c r="AC232" s="1329">
        <f t="shared" si="58"/>
        <v>0</v>
      </c>
      <c r="AD232" s="1329"/>
      <c r="AE232" s="1329">
        <f t="shared" si="59"/>
        <v>0</v>
      </c>
      <c r="AF232" s="1329">
        <f t="shared" si="60"/>
        <v>0</v>
      </c>
      <c r="AG232" s="1330">
        <f t="shared" si="61"/>
        <v>0</v>
      </c>
      <c r="AH232" s="1330">
        <f t="shared" si="62"/>
        <v>0</v>
      </c>
    </row>
    <row r="233" spans="2:34">
      <c r="B233" s="1687"/>
      <c r="C233" s="1687"/>
      <c r="D233" s="1687"/>
      <c r="E233" s="2152"/>
      <c r="F233" s="1326"/>
      <c r="G233" s="1327"/>
      <c r="H233" s="1326"/>
      <c r="I233" s="1327"/>
      <c r="J233" s="1687"/>
      <c r="K233" s="1687"/>
      <c r="L233" s="1687"/>
      <c r="M233" s="1328"/>
      <c r="N233" s="1328"/>
      <c r="O233" s="1687"/>
      <c r="P233" s="1687"/>
      <c r="Q233" s="1687"/>
      <c r="R233" s="1326"/>
      <c r="S233" s="1327"/>
      <c r="T233" s="1326"/>
      <c r="U233" s="1326"/>
      <c r="V233" s="1329">
        <f t="shared" si="52"/>
        <v>0</v>
      </c>
      <c r="W233" s="1329">
        <f t="shared" si="53"/>
        <v>0</v>
      </c>
      <c r="X233" s="1329">
        <f t="shared" si="54"/>
        <v>0</v>
      </c>
      <c r="Y233" s="1329">
        <f t="shared" si="55"/>
        <v>0</v>
      </c>
      <c r="Z233" s="1329">
        <f t="shared" si="56"/>
        <v>0</v>
      </c>
      <c r="AA233" s="1329">
        <f t="shared" si="57"/>
        <v>0</v>
      </c>
      <c r="AB233" s="1329"/>
      <c r="AC233" s="1329">
        <f t="shared" si="58"/>
        <v>0</v>
      </c>
      <c r="AD233" s="1329"/>
      <c r="AE233" s="1329">
        <f t="shared" si="59"/>
        <v>0</v>
      </c>
      <c r="AF233" s="1329">
        <f t="shared" si="60"/>
        <v>0</v>
      </c>
      <c r="AG233" s="1330">
        <f t="shared" si="61"/>
        <v>0</v>
      </c>
      <c r="AH233" s="1330">
        <f t="shared" si="62"/>
        <v>0</v>
      </c>
    </row>
    <row r="234" spans="2:34">
      <c r="B234" s="1687"/>
      <c r="C234" s="1687"/>
      <c r="D234" s="1687"/>
      <c r="E234" s="2152"/>
      <c r="F234" s="1326"/>
      <c r="G234" s="1327"/>
      <c r="H234" s="1326"/>
      <c r="I234" s="1327"/>
      <c r="J234" s="1687"/>
      <c r="K234" s="1687"/>
      <c r="L234" s="1687"/>
      <c r="M234" s="1328"/>
      <c r="N234" s="1328"/>
      <c r="O234" s="1687"/>
      <c r="P234" s="1687"/>
      <c r="Q234" s="1687"/>
      <c r="R234" s="1326"/>
      <c r="S234" s="1327"/>
      <c r="T234" s="1326"/>
      <c r="U234" s="1326"/>
      <c r="V234" s="1329">
        <f t="shared" si="52"/>
        <v>0</v>
      </c>
      <c r="W234" s="1329">
        <f t="shared" si="53"/>
        <v>0</v>
      </c>
      <c r="X234" s="1329">
        <f t="shared" si="54"/>
        <v>0</v>
      </c>
      <c r="Y234" s="1329">
        <f t="shared" si="55"/>
        <v>0</v>
      </c>
      <c r="Z234" s="1329">
        <f t="shared" si="56"/>
        <v>0</v>
      </c>
      <c r="AA234" s="1329">
        <f t="shared" si="57"/>
        <v>0</v>
      </c>
      <c r="AB234" s="1329"/>
      <c r="AC234" s="1329">
        <f t="shared" si="58"/>
        <v>0</v>
      </c>
      <c r="AD234" s="1329"/>
      <c r="AE234" s="1329">
        <f t="shared" si="59"/>
        <v>0</v>
      </c>
      <c r="AF234" s="1329">
        <f t="shared" si="60"/>
        <v>0</v>
      </c>
      <c r="AG234" s="1330">
        <f t="shared" si="61"/>
        <v>0</v>
      </c>
      <c r="AH234" s="1330">
        <f t="shared" si="62"/>
        <v>0</v>
      </c>
    </row>
    <row r="235" spans="2:34">
      <c r="B235" s="1687"/>
      <c r="C235" s="1687"/>
      <c r="D235" s="1687"/>
      <c r="E235" s="2152"/>
      <c r="F235" s="1326"/>
      <c r="G235" s="1327"/>
      <c r="H235" s="1326"/>
      <c r="I235" s="1327"/>
      <c r="J235" s="1687"/>
      <c r="K235" s="1687"/>
      <c r="L235" s="1687"/>
      <c r="M235" s="1328"/>
      <c r="N235" s="1328"/>
      <c r="O235" s="1687"/>
      <c r="P235" s="1687"/>
      <c r="Q235" s="1687"/>
      <c r="R235" s="1326"/>
      <c r="S235" s="1327"/>
      <c r="T235" s="1326"/>
      <c r="U235" s="1326"/>
      <c r="V235" s="1329">
        <f t="shared" si="52"/>
        <v>0</v>
      </c>
      <c r="W235" s="1329">
        <f t="shared" si="53"/>
        <v>0</v>
      </c>
      <c r="X235" s="1329">
        <f t="shared" si="54"/>
        <v>0</v>
      </c>
      <c r="Y235" s="1329">
        <f t="shared" si="55"/>
        <v>0</v>
      </c>
      <c r="Z235" s="1329">
        <f t="shared" si="56"/>
        <v>0</v>
      </c>
      <c r="AA235" s="1329">
        <f t="shared" si="57"/>
        <v>0</v>
      </c>
      <c r="AB235" s="1329"/>
      <c r="AC235" s="1329">
        <f t="shared" si="58"/>
        <v>0</v>
      </c>
      <c r="AD235" s="1329"/>
      <c r="AE235" s="1329">
        <f t="shared" si="59"/>
        <v>0</v>
      </c>
      <c r="AF235" s="1329">
        <f t="shared" si="60"/>
        <v>0</v>
      </c>
      <c r="AG235" s="1330">
        <f t="shared" si="61"/>
        <v>0</v>
      </c>
      <c r="AH235" s="1330">
        <f t="shared" si="62"/>
        <v>0</v>
      </c>
    </row>
    <row r="236" spans="2:34">
      <c r="B236" s="1687"/>
      <c r="C236" s="1687"/>
      <c r="D236" s="1687"/>
      <c r="E236" s="2152"/>
      <c r="F236" s="1326"/>
      <c r="G236" s="1327"/>
      <c r="H236" s="1326"/>
      <c r="I236" s="1327"/>
      <c r="J236" s="1687"/>
      <c r="K236" s="1687"/>
      <c r="L236" s="1687"/>
      <c r="M236" s="1328"/>
      <c r="N236" s="1328"/>
      <c r="O236" s="1687"/>
      <c r="P236" s="1687"/>
      <c r="Q236" s="1687"/>
      <c r="R236" s="1326"/>
      <c r="S236" s="1327"/>
      <c r="T236" s="1326"/>
      <c r="U236" s="1326"/>
      <c r="V236" s="1329">
        <f t="shared" si="52"/>
        <v>0</v>
      </c>
      <c r="W236" s="1329">
        <f t="shared" si="53"/>
        <v>0</v>
      </c>
      <c r="X236" s="1329">
        <f t="shared" si="54"/>
        <v>0</v>
      </c>
      <c r="Y236" s="1329">
        <f t="shared" si="55"/>
        <v>0</v>
      </c>
      <c r="Z236" s="1329">
        <f t="shared" si="56"/>
        <v>0</v>
      </c>
      <c r="AA236" s="1329">
        <f t="shared" si="57"/>
        <v>0</v>
      </c>
      <c r="AB236" s="1329"/>
      <c r="AC236" s="1329">
        <f t="shared" si="58"/>
        <v>0</v>
      </c>
      <c r="AD236" s="1329"/>
      <c r="AE236" s="1329">
        <f t="shared" si="59"/>
        <v>0</v>
      </c>
      <c r="AF236" s="1329">
        <f t="shared" si="60"/>
        <v>0</v>
      </c>
      <c r="AG236" s="1330">
        <f t="shared" si="61"/>
        <v>0</v>
      </c>
      <c r="AH236" s="1330">
        <f t="shared" si="62"/>
        <v>0</v>
      </c>
    </row>
    <row r="237" spans="2:34">
      <c r="B237" s="1687"/>
      <c r="C237" s="1687"/>
      <c r="D237" s="1687"/>
      <c r="E237" s="2152"/>
      <c r="F237" s="1326"/>
      <c r="G237" s="1327"/>
      <c r="H237" s="1326"/>
      <c r="I237" s="1327"/>
      <c r="J237" s="1687"/>
      <c r="K237" s="1687"/>
      <c r="L237" s="1687"/>
      <c r="M237" s="1328"/>
      <c r="N237" s="1328"/>
      <c r="O237" s="1687"/>
      <c r="P237" s="1687"/>
      <c r="Q237" s="1687"/>
      <c r="R237" s="1326"/>
      <c r="S237" s="1327"/>
      <c r="T237" s="1326"/>
      <c r="U237" s="1326"/>
      <c r="V237" s="1329">
        <f t="shared" si="52"/>
        <v>0</v>
      </c>
      <c r="W237" s="1329">
        <f t="shared" si="53"/>
        <v>0</v>
      </c>
      <c r="X237" s="1329">
        <f t="shared" si="54"/>
        <v>0</v>
      </c>
      <c r="Y237" s="1329">
        <f t="shared" si="55"/>
        <v>0</v>
      </c>
      <c r="Z237" s="1329">
        <f t="shared" si="56"/>
        <v>0</v>
      </c>
      <c r="AA237" s="1329">
        <f t="shared" si="57"/>
        <v>0</v>
      </c>
      <c r="AB237" s="1329"/>
      <c r="AC237" s="1329">
        <f t="shared" si="58"/>
        <v>0</v>
      </c>
      <c r="AD237" s="1329"/>
      <c r="AE237" s="1329">
        <f t="shared" si="59"/>
        <v>0</v>
      </c>
      <c r="AF237" s="1329">
        <f t="shared" si="60"/>
        <v>0</v>
      </c>
      <c r="AG237" s="1330">
        <f t="shared" si="61"/>
        <v>0</v>
      </c>
      <c r="AH237" s="1330">
        <f t="shared" si="62"/>
        <v>0</v>
      </c>
    </row>
    <row r="238" spans="2:34">
      <c r="B238" s="1687"/>
      <c r="C238" s="1687"/>
      <c r="D238" s="1687"/>
      <c r="E238" s="2152"/>
      <c r="F238" s="1326"/>
      <c r="G238" s="1327"/>
      <c r="H238" s="1326"/>
      <c r="I238" s="1327"/>
      <c r="J238" s="1687"/>
      <c r="K238" s="1687"/>
      <c r="L238" s="1687"/>
      <c r="M238" s="1328"/>
      <c r="N238" s="1328"/>
      <c r="O238" s="1687"/>
      <c r="P238" s="1687"/>
      <c r="Q238" s="1687"/>
      <c r="R238" s="1326"/>
      <c r="S238" s="1327"/>
      <c r="T238" s="1326"/>
      <c r="U238" s="1326"/>
      <c r="V238" s="1329">
        <f t="shared" si="52"/>
        <v>0</v>
      </c>
      <c r="W238" s="1329">
        <f t="shared" si="53"/>
        <v>0</v>
      </c>
      <c r="X238" s="1329">
        <f t="shared" si="54"/>
        <v>0</v>
      </c>
      <c r="Y238" s="1329">
        <f t="shared" si="55"/>
        <v>0</v>
      </c>
      <c r="Z238" s="1329">
        <f t="shared" si="56"/>
        <v>0</v>
      </c>
      <c r="AA238" s="1329">
        <f t="shared" si="57"/>
        <v>0</v>
      </c>
      <c r="AB238" s="1329"/>
      <c r="AC238" s="1329">
        <f t="shared" si="58"/>
        <v>0</v>
      </c>
      <c r="AD238" s="1329"/>
      <c r="AE238" s="1329">
        <f t="shared" si="59"/>
        <v>0</v>
      </c>
      <c r="AF238" s="1329">
        <f t="shared" si="60"/>
        <v>0</v>
      </c>
      <c r="AG238" s="1330">
        <f t="shared" si="61"/>
        <v>0</v>
      </c>
      <c r="AH238" s="1330">
        <f t="shared" si="62"/>
        <v>0</v>
      </c>
    </row>
    <row r="239" spans="2:34">
      <c r="B239" s="1687"/>
      <c r="C239" s="1687"/>
      <c r="D239" s="1687"/>
      <c r="E239" s="2152"/>
      <c r="F239" s="1326"/>
      <c r="G239" s="1327"/>
      <c r="H239" s="1326"/>
      <c r="I239" s="1327"/>
      <c r="J239" s="1687"/>
      <c r="K239" s="1687"/>
      <c r="L239" s="1687"/>
      <c r="M239" s="1328"/>
      <c r="N239" s="1328"/>
      <c r="O239" s="1687"/>
      <c r="P239" s="1687"/>
      <c r="Q239" s="1687"/>
      <c r="R239" s="1326"/>
      <c r="S239" s="1327"/>
      <c r="T239" s="1326"/>
      <c r="U239" s="1326"/>
      <c r="V239" s="1329">
        <f t="shared" si="52"/>
        <v>0</v>
      </c>
      <c r="W239" s="1329">
        <f t="shared" si="53"/>
        <v>0</v>
      </c>
      <c r="X239" s="1329">
        <f t="shared" si="54"/>
        <v>0</v>
      </c>
      <c r="Y239" s="1329">
        <f t="shared" si="55"/>
        <v>0</v>
      </c>
      <c r="Z239" s="1329">
        <f t="shared" si="56"/>
        <v>0</v>
      </c>
      <c r="AA239" s="1329">
        <f t="shared" si="57"/>
        <v>0</v>
      </c>
      <c r="AB239" s="1329"/>
      <c r="AC239" s="1329">
        <f t="shared" si="58"/>
        <v>0</v>
      </c>
      <c r="AD239" s="1329"/>
      <c r="AE239" s="1329">
        <f t="shared" si="59"/>
        <v>0</v>
      </c>
      <c r="AF239" s="1329">
        <f t="shared" si="60"/>
        <v>0</v>
      </c>
      <c r="AG239" s="1330">
        <f t="shared" si="61"/>
        <v>0</v>
      </c>
      <c r="AH239" s="1330">
        <f t="shared" si="62"/>
        <v>0</v>
      </c>
    </row>
    <row r="240" spans="2:34">
      <c r="B240" s="1687"/>
      <c r="C240" s="1687"/>
      <c r="D240" s="1687"/>
      <c r="E240" s="2152"/>
      <c r="F240" s="1326"/>
      <c r="G240" s="1327"/>
      <c r="H240" s="1326"/>
      <c r="I240" s="1327"/>
      <c r="J240" s="1687"/>
      <c r="K240" s="1687"/>
      <c r="L240" s="1687"/>
      <c r="M240" s="1328"/>
      <c r="N240" s="1328"/>
      <c r="O240" s="1687"/>
      <c r="P240" s="1687"/>
      <c r="Q240" s="1687"/>
      <c r="R240" s="1326"/>
      <c r="S240" s="1327"/>
      <c r="T240" s="1326"/>
      <c r="U240" s="1326"/>
      <c r="V240" s="1329">
        <f t="shared" si="52"/>
        <v>0</v>
      </c>
      <c r="W240" s="1329">
        <f t="shared" si="53"/>
        <v>0</v>
      </c>
      <c r="X240" s="1329">
        <f t="shared" si="54"/>
        <v>0</v>
      </c>
      <c r="Y240" s="1329">
        <f t="shared" si="55"/>
        <v>0</v>
      </c>
      <c r="Z240" s="1329">
        <f t="shared" si="56"/>
        <v>0</v>
      </c>
      <c r="AA240" s="1329">
        <f t="shared" si="57"/>
        <v>0</v>
      </c>
      <c r="AB240" s="1329"/>
      <c r="AC240" s="1329">
        <f t="shared" si="58"/>
        <v>0</v>
      </c>
      <c r="AD240" s="1329"/>
      <c r="AE240" s="1329">
        <f t="shared" si="59"/>
        <v>0</v>
      </c>
      <c r="AF240" s="1329">
        <f t="shared" si="60"/>
        <v>0</v>
      </c>
      <c r="AG240" s="1330">
        <f t="shared" si="61"/>
        <v>0</v>
      </c>
      <c r="AH240" s="1330">
        <f t="shared" si="62"/>
        <v>0</v>
      </c>
    </row>
    <row r="241" spans="2:34">
      <c r="B241" s="1687"/>
      <c r="C241" s="1687"/>
      <c r="D241" s="1687"/>
      <c r="E241" s="2152"/>
      <c r="F241" s="1326"/>
      <c r="G241" s="1327"/>
      <c r="H241" s="1326"/>
      <c r="I241" s="1327"/>
      <c r="J241" s="1687"/>
      <c r="K241" s="1687"/>
      <c r="L241" s="1687"/>
      <c r="M241" s="1328"/>
      <c r="N241" s="1328"/>
      <c r="O241" s="1687"/>
      <c r="P241" s="1687"/>
      <c r="Q241" s="1687"/>
      <c r="R241" s="1326"/>
      <c r="S241" s="1327"/>
      <c r="T241" s="1326"/>
      <c r="U241" s="1326"/>
      <c r="V241" s="1329">
        <f t="shared" si="52"/>
        <v>0</v>
      </c>
      <c r="W241" s="1329">
        <f t="shared" si="53"/>
        <v>0</v>
      </c>
      <c r="X241" s="1329">
        <f t="shared" si="54"/>
        <v>0</v>
      </c>
      <c r="Y241" s="1329">
        <f t="shared" si="55"/>
        <v>0</v>
      </c>
      <c r="Z241" s="1329">
        <f t="shared" si="56"/>
        <v>0</v>
      </c>
      <c r="AA241" s="1329">
        <f t="shared" si="57"/>
        <v>0</v>
      </c>
      <c r="AB241" s="1329"/>
      <c r="AC241" s="1329">
        <f t="shared" si="58"/>
        <v>0</v>
      </c>
      <c r="AD241" s="1329"/>
      <c r="AE241" s="1329">
        <f t="shared" si="59"/>
        <v>0</v>
      </c>
      <c r="AF241" s="1329">
        <f t="shared" si="60"/>
        <v>0</v>
      </c>
      <c r="AG241" s="1330">
        <f t="shared" si="61"/>
        <v>0</v>
      </c>
      <c r="AH241" s="1330">
        <f t="shared" si="62"/>
        <v>0</v>
      </c>
    </row>
    <row r="242" spans="2:34">
      <c r="B242" s="1687"/>
      <c r="C242" s="1687"/>
      <c r="D242" s="1687"/>
      <c r="E242" s="2152"/>
      <c r="F242" s="1326"/>
      <c r="G242" s="1327"/>
      <c r="H242" s="1326"/>
      <c r="I242" s="1327"/>
      <c r="J242" s="1687"/>
      <c r="K242" s="1687"/>
      <c r="L242" s="1687"/>
      <c r="M242" s="1328"/>
      <c r="N242" s="1328"/>
      <c r="O242" s="1687"/>
      <c r="P242" s="1687"/>
      <c r="Q242" s="1687"/>
      <c r="R242" s="1326"/>
      <c r="S242" s="1327"/>
      <c r="T242" s="1326"/>
      <c r="U242" s="1326"/>
      <c r="V242" s="1329">
        <f t="shared" si="52"/>
        <v>0</v>
      </c>
      <c r="W242" s="1329">
        <f t="shared" si="53"/>
        <v>0</v>
      </c>
      <c r="X242" s="1329">
        <f t="shared" si="54"/>
        <v>0</v>
      </c>
      <c r="Y242" s="1329">
        <f t="shared" si="55"/>
        <v>0</v>
      </c>
      <c r="Z242" s="1329">
        <f t="shared" si="56"/>
        <v>0</v>
      </c>
      <c r="AA242" s="1329">
        <f t="shared" si="57"/>
        <v>0</v>
      </c>
      <c r="AB242" s="1329"/>
      <c r="AC242" s="1329">
        <f t="shared" si="58"/>
        <v>0</v>
      </c>
      <c r="AD242" s="1329"/>
      <c r="AE242" s="1329">
        <f t="shared" si="59"/>
        <v>0</v>
      </c>
      <c r="AF242" s="1329">
        <f t="shared" si="60"/>
        <v>0</v>
      </c>
      <c r="AG242" s="1330">
        <f t="shared" si="61"/>
        <v>0</v>
      </c>
      <c r="AH242" s="1330">
        <f t="shared" si="62"/>
        <v>0</v>
      </c>
    </row>
    <row r="243" spans="2:34">
      <c r="B243" s="1687"/>
      <c r="C243" s="1687"/>
      <c r="D243" s="1687"/>
      <c r="E243" s="2152"/>
      <c r="F243" s="1326"/>
      <c r="G243" s="1327"/>
      <c r="H243" s="1326"/>
      <c r="I243" s="1327"/>
      <c r="J243" s="1687"/>
      <c r="K243" s="1687"/>
      <c r="L243" s="1687"/>
      <c r="M243" s="1328"/>
      <c r="N243" s="1328"/>
      <c r="O243" s="1687"/>
      <c r="P243" s="1687"/>
      <c r="Q243" s="1687"/>
      <c r="R243" s="1326"/>
      <c r="S243" s="1327"/>
      <c r="T243" s="1326"/>
      <c r="U243" s="1326"/>
      <c r="V243" s="1329">
        <f t="shared" si="52"/>
        <v>0</v>
      </c>
      <c r="W243" s="1329">
        <f t="shared" si="53"/>
        <v>0</v>
      </c>
      <c r="X243" s="1329">
        <f t="shared" si="54"/>
        <v>0</v>
      </c>
      <c r="Y243" s="1329">
        <f t="shared" si="55"/>
        <v>0</v>
      </c>
      <c r="Z243" s="1329">
        <f t="shared" si="56"/>
        <v>0</v>
      </c>
      <c r="AA243" s="1329">
        <f t="shared" si="57"/>
        <v>0</v>
      </c>
      <c r="AB243" s="1329"/>
      <c r="AC243" s="1329">
        <f t="shared" si="58"/>
        <v>0</v>
      </c>
      <c r="AD243" s="1329"/>
      <c r="AE243" s="1329">
        <f t="shared" si="59"/>
        <v>0</v>
      </c>
      <c r="AF243" s="1329">
        <f t="shared" si="60"/>
        <v>0</v>
      </c>
      <c r="AG243" s="1330">
        <f t="shared" si="61"/>
        <v>0</v>
      </c>
      <c r="AH243" s="1330">
        <f t="shared" si="62"/>
        <v>0</v>
      </c>
    </row>
    <row r="244" spans="2:34">
      <c r="B244" s="1687"/>
      <c r="C244" s="1687"/>
      <c r="D244" s="1687"/>
      <c r="E244" s="2152"/>
      <c r="F244" s="1326"/>
      <c r="G244" s="1327"/>
      <c r="H244" s="1326"/>
      <c r="I244" s="1327"/>
      <c r="J244" s="1687"/>
      <c r="K244" s="1687"/>
      <c r="L244" s="1687"/>
      <c r="M244" s="1328"/>
      <c r="N244" s="1328"/>
      <c r="O244" s="1687"/>
      <c r="P244" s="1687"/>
      <c r="Q244" s="1687"/>
      <c r="R244" s="1326"/>
      <c r="S244" s="1327"/>
      <c r="T244" s="1326"/>
      <c r="U244" s="1326"/>
      <c r="V244" s="1329">
        <f t="shared" si="52"/>
        <v>0</v>
      </c>
      <c r="W244" s="1329">
        <f t="shared" si="53"/>
        <v>0</v>
      </c>
      <c r="X244" s="1329">
        <f t="shared" si="54"/>
        <v>0</v>
      </c>
      <c r="Y244" s="1329">
        <f t="shared" si="55"/>
        <v>0</v>
      </c>
      <c r="Z244" s="1329">
        <f t="shared" si="56"/>
        <v>0</v>
      </c>
      <c r="AA244" s="1329">
        <f t="shared" si="57"/>
        <v>0</v>
      </c>
      <c r="AB244" s="1329"/>
      <c r="AC244" s="1329">
        <f t="shared" si="58"/>
        <v>0</v>
      </c>
      <c r="AD244" s="1329"/>
      <c r="AE244" s="1329">
        <f t="shared" si="59"/>
        <v>0</v>
      </c>
      <c r="AF244" s="1329">
        <f t="shared" si="60"/>
        <v>0</v>
      </c>
      <c r="AG244" s="1330">
        <f t="shared" si="61"/>
        <v>0</v>
      </c>
      <c r="AH244" s="1330">
        <f t="shared" si="62"/>
        <v>0</v>
      </c>
    </row>
    <row r="245" spans="2:34">
      <c r="B245" s="1687"/>
      <c r="C245" s="1687"/>
      <c r="D245" s="1687"/>
      <c r="E245" s="2152"/>
      <c r="F245" s="1326"/>
      <c r="G245" s="1327"/>
      <c r="H245" s="1326"/>
      <c r="I245" s="1327"/>
      <c r="J245" s="1687"/>
      <c r="K245" s="1687"/>
      <c r="L245" s="1687"/>
      <c r="M245" s="1328"/>
      <c r="N245" s="1328"/>
      <c r="O245" s="1687"/>
      <c r="P245" s="1687"/>
      <c r="Q245" s="1687"/>
      <c r="R245" s="1326"/>
      <c r="S245" s="1327"/>
      <c r="T245" s="1326"/>
      <c r="U245" s="1326"/>
      <c r="V245" s="1329">
        <f t="shared" si="52"/>
        <v>0</v>
      </c>
      <c r="W245" s="1329">
        <f t="shared" si="53"/>
        <v>0</v>
      </c>
      <c r="X245" s="1329">
        <f t="shared" si="54"/>
        <v>0</v>
      </c>
      <c r="Y245" s="1329">
        <f t="shared" si="55"/>
        <v>0</v>
      </c>
      <c r="Z245" s="1329">
        <f t="shared" si="56"/>
        <v>0</v>
      </c>
      <c r="AA245" s="1329">
        <f t="shared" si="57"/>
        <v>0</v>
      </c>
      <c r="AB245" s="1329"/>
      <c r="AC245" s="1329">
        <f t="shared" si="58"/>
        <v>0</v>
      </c>
      <c r="AD245" s="1329"/>
      <c r="AE245" s="1329">
        <f t="shared" si="59"/>
        <v>0</v>
      </c>
      <c r="AF245" s="1329">
        <f t="shared" si="60"/>
        <v>0</v>
      </c>
      <c r="AG245" s="1330">
        <f t="shared" si="61"/>
        <v>0</v>
      </c>
      <c r="AH245" s="1330">
        <f t="shared" si="62"/>
        <v>0</v>
      </c>
    </row>
    <row r="246" spans="2:34">
      <c r="B246" s="1687"/>
      <c r="C246" s="1687"/>
      <c r="D246" s="1687"/>
      <c r="E246" s="2152"/>
      <c r="F246" s="1326"/>
      <c r="G246" s="1327"/>
      <c r="H246" s="1326"/>
      <c r="I246" s="1327"/>
      <c r="J246" s="1687"/>
      <c r="K246" s="1687"/>
      <c r="L246" s="1687"/>
      <c r="M246" s="1328"/>
      <c r="N246" s="1328"/>
      <c r="O246" s="1687"/>
      <c r="P246" s="1687"/>
      <c r="Q246" s="1687"/>
      <c r="R246" s="1326"/>
      <c r="S246" s="1327"/>
      <c r="T246" s="1326"/>
      <c r="U246" s="1326"/>
      <c r="V246" s="1329">
        <f t="shared" si="52"/>
        <v>0</v>
      </c>
      <c r="W246" s="1329">
        <f t="shared" si="53"/>
        <v>0</v>
      </c>
      <c r="X246" s="1329">
        <f t="shared" si="54"/>
        <v>0</v>
      </c>
      <c r="Y246" s="1329">
        <f t="shared" si="55"/>
        <v>0</v>
      </c>
      <c r="Z246" s="1329">
        <f t="shared" si="56"/>
        <v>0</v>
      </c>
      <c r="AA246" s="1329">
        <f t="shared" si="57"/>
        <v>0</v>
      </c>
      <c r="AB246" s="1329"/>
      <c r="AC246" s="1329">
        <f t="shared" si="58"/>
        <v>0</v>
      </c>
      <c r="AD246" s="1329"/>
      <c r="AE246" s="1329">
        <f t="shared" si="59"/>
        <v>0</v>
      </c>
      <c r="AF246" s="1329">
        <f t="shared" si="60"/>
        <v>0</v>
      </c>
      <c r="AG246" s="1330">
        <f t="shared" si="61"/>
        <v>0</v>
      </c>
      <c r="AH246" s="1330">
        <f t="shared" si="62"/>
        <v>0</v>
      </c>
    </row>
    <row r="247" spans="2:34">
      <c r="B247" s="1687"/>
      <c r="C247" s="1687"/>
      <c r="D247" s="1687"/>
      <c r="E247" s="2152"/>
      <c r="F247" s="1326"/>
      <c r="G247" s="1327"/>
      <c r="H247" s="1326"/>
      <c r="I247" s="1327"/>
      <c r="J247" s="1687"/>
      <c r="K247" s="1687"/>
      <c r="L247" s="1687"/>
      <c r="M247" s="1328"/>
      <c r="N247" s="1328"/>
      <c r="O247" s="1687"/>
      <c r="P247" s="1687"/>
      <c r="Q247" s="1687"/>
      <c r="R247" s="1326"/>
      <c r="S247" s="1327"/>
      <c r="T247" s="1326"/>
      <c r="U247" s="1326"/>
      <c r="V247" s="1329">
        <f t="shared" si="52"/>
        <v>0</v>
      </c>
      <c r="W247" s="1329">
        <f t="shared" si="53"/>
        <v>0</v>
      </c>
      <c r="X247" s="1329">
        <f t="shared" si="54"/>
        <v>0</v>
      </c>
      <c r="Y247" s="1329">
        <f t="shared" si="55"/>
        <v>0</v>
      </c>
      <c r="Z247" s="1329">
        <f t="shared" si="56"/>
        <v>0</v>
      </c>
      <c r="AA247" s="1329">
        <f t="shared" si="57"/>
        <v>0</v>
      </c>
      <c r="AB247" s="1329"/>
      <c r="AC247" s="1329">
        <f t="shared" si="58"/>
        <v>0</v>
      </c>
      <c r="AD247" s="1329"/>
      <c r="AE247" s="1329">
        <f t="shared" si="59"/>
        <v>0</v>
      </c>
      <c r="AF247" s="1329">
        <f t="shared" si="60"/>
        <v>0</v>
      </c>
      <c r="AG247" s="1330">
        <f t="shared" si="61"/>
        <v>0</v>
      </c>
      <c r="AH247" s="1330">
        <f t="shared" si="62"/>
        <v>0</v>
      </c>
    </row>
    <row r="248" spans="2:34">
      <c r="B248" s="1687"/>
      <c r="C248" s="1687"/>
      <c r="D248" s="1687"/>
      <c r="E248" s="2152"/>
      <c r="F248" s="1326"/>
      <c r="G248" s="1327"/>
      <c r="H248" s="1326"/>
      <c r="I248" s="1327"/>
      <c r="J248" s="1687"/>
      <c r="K248" s="1687"/>
      <c r="L248" s="1687"/>
      <c r="M248" s="1328"/>
      <c r="N248" s="1328"/>
      <c r="O248" s="1687"/>
      <c r="P248" s="1687"/>
      <c r="Q248" s="1687"/>
      <c r="R248" s="1326"/>
      <c r="S248" s="1327"/>
      <c r="T248" s="1326"/>
      <c r="U248" s="1326"/>
      <c r="V248" s="1329">
        <f t="shared" si="52"/>
        <v>0</v>
      </c>
      <c r="W248" s="1329">
        <f t="shared" si="53"/>
        <v>0</v>
      </c>
      <c r="X248" s="1329">
        <f t="shared" si="54"/>
        <v>0</v>
      </c>
      <c r="Y248" s="1329">
        <f t="shared" si="55"/>
        <v>0</v>
      </c>
      <c r="Z248" s="1329">
        <f t="shared" si="56"/>
        <v>0</v>
      </c>
      <c r="AA248" s="1329">
        <f t="shared" si="57"/>
        <v>0</v>
      </c>
      <c r="AB248" s="1329"/>
      <c r="AC248" s="1329">
        <f t="shared" si="58"/>
        <v>0</v>
      </c>
      <c r="AD248" s="1329"/>
      <c r="AE248" s="1329">
        <f t="shared" si="59"/>
        <v>0</v>
      </c>
      <c r="AF248" s="1329">
        <f t="shared" si="60"/>
        <v>0</v>
      </c>
      <c r="AG248" s="1330">
        <f t="shared" si="61"/>
        <v>0</v>
      </c>
      <c r="AH248" s="1330">
        <f t="shared" si="62"/>
        <v>0</v>
      </c>
    </row>
    <row r="249" spans="2:34">
      <c r="B249" s="1687"/>
      <c r="C249" s="1687"/>
      <c r="D249" s="1687"/>
      <c r="E249" s="2152"/>
      <c r="F249" s="1326"/>
      <c r="G249" s="1327"/>
      <c r="H249" s="1326"/>
      <c r="I249" s="1327"/>
      <c r="J249" s="1687"/>
      <c r="K249" s="1687"/>
      <c r="L249" s="1687"/>
      <c r="M249" s="1328"/>
      <c r="N249" s="1328"/>
      <c r="O249" s="1687"/>
      <c r="P249" s="1687"/>
      <c r="Q249" s="1687"/>
      <c r="R249" s="1326"/>
      <c r="S249" s="1327"/>
      <c r="T249" s="1326"/>
      <c r="U249" s="1326"/>
      <c r="V249" s="1329">
        <f t="shared" si="52"/>
        <v>0</v>
      </c>
      <c r="W249" s="1329">
        <f t="shared" si="53"/>
        <v>0</v>
      </c>
      <c r="X249" s="1329">
        <f t="shared" si="54"/>
        <v>0</v>
      </c>
      <c r="Y249" s="1329">
        <f t="shared" si="55"/>
        <v>0</v>
      </c>
      <c r="Z249" s="1329">
        <f t="shared" si="56"/>
        <v>0</v>
      </c>
      <c r="AA249" s="1329">
        <f t="shared" si="57"/>
        <v>0</v>
      </c>
      <c r="AB249" s="1329"/>
      <c r="AC249" s="1329">
        <f t="shared" si="58"/>
        <v>0</v>
      </c>
      <c r="AD249" s="1329"/>
      <c r="AE249" s="1329">
        <f t="shared" si="59"/>
        <v>0</v>
      </c>
      <c r="AF249" s="1329">
        <f t="shared" si="60"/>
        <v>0</v>
      </c>
      <c r="AG249" s="1330">
        <f t="shared" si="61"/>
        <v>0</v>
      </c>
      <c r="AH249" s="1330">
        <f t="shared" si="62"/>
        <v>0</v>
      </c>
    </row>
    <row r="250" spans="2:34">
      <c r="B250" s="1687"/>
      <c r="C250" s="1687"/>
      <c r="D250" s="1687"/>
      <c r="E250" s="2152"/>
      <c r="F250" s="1326"/>
      <c r="G250" s="1327"/>
      <c r="H250" s="1326"/>
      <c r="I250" s="1327"/>
      <c r="J250" s="1687"/>
      <c r="K250" s="1687"/>
      <c r="L250" s="1687"/>
      <c r="M250" s="1328"/>
      <c r="N250" s="1328"/>
      <c r="O250" s="1687"/>
      <c r="P250" s="1687"/>
      <c r="Q250" s="1687"/>
      <c r="R250" s="1326"/>
      <c r="S250" s="1327"/>
      <c r="T250" s="1326"/>
      <c r="U250" s="1326"/>
      <c r="V250" s="1329">
        <f t="shared" ref="V250:V415" si="63">IF(F250&gt;=0,0,"c50&gt;=0")</f>
        <v>0</v>
      </c>
      <c r="W250" s="1329">
        <f t="shared" ref="W250:W415" si="64">IF(H250&gt;=0,0,"c70&gt;=0")</f>
        <v>0</v>
      </c>
      <c r="X250" s="1329">
        <f t="shared" ref="X250:X415" si="65">IF(M250&lt;=1,0,"c110&lt;=1")</f>
        <v>0</v>
      </c>
      <c r="Y250" s="1329">
        <f t="shared" ref="Y250:Y415" si="66">IF(M250&gt;=0,0,"c110&gt;=0")</f>
        <v>0</v>
      </c>
      <c r="Z250" s="1329">
        <f t="shared" ref="Z250:Z415" si="67">IF(N250&lt;=1,0,"c120&lt;=1")</f>
        <v>0</v>
      </c>
      <c r="AA250" s="1329">
        <f t="shared" ref="AA250:AA415" si="68">IF(N250&gt;=0,0,"c120&gt;=0")</f>
        <v>0</v>
      </c>
      <c r="AB250" s="1329"/>
      <c r="AC250" s="1329">
        <f t="shared" ref="AC250:AC415" si="69">IF(R250&gt;=0,0,"c160&gt;=0")</f>
        <v>0</v>
      </c>
      <c r="AD250" s="1329"/>
      <c r="AE250" s="1329">
        <f t="shared" ref="AE250:AE415" si="70">IF(T250&gt;=0,0,"c180&gt;=0")</f>
        <v>0</v>
      </c>
      <c r="AF250" s="1329">
        <f t="shared" ref="AF250:AF415" si="71">IF(U250&gt;=0,0,"c190&gt;=0")</f>
        <v>0</v>
      </c>
      <c r="AG250" s="1330">
        <f t="shared" si="61"/>
        <v>0</v>
      </c>
      <c r="AH250" s="1330">
        <f t="shared" si="62"/>
        <v>0</v>
      </c>
    </row>
    <row r="251" spans="2:34">
      <c r="B251" s="1687"/>
      <c r="C251" s="1687"/>
      <c r="D251" s="1687"/>
      <c r="E251" s="2152"/>
      <c r="F251" s="1326"/>
      <c r="G251" s="1327"/>
      <c r="H251" s="1326"/>
      <c r="I251" s="1327"/>
      <c r="J251" s="1687"/>
      <c r="K251" s="1687"/>
      <c r="L251" s="1687"/>
      <c r="M251" s="1328"/>
      <c r="N251" s="1328"/>
      <c r="O251" s="1687"/>
      <c r="P251" s="1687"/>
      <c r="Q251" s="1687"/>
      <c r="R251" s="1326"/>
      <c r="S251" s="1327"/>
      <c r="T251" s="1326"/>
      <c r="U251" s="1326"/>
      <c r="V251" s="1329">
        <f t="shared" si="63"/>
        <v>0</v>
      </c>
      <c r="W251" s="1329">
        <f t="shared" si="64"/>
        <v>0</v>
      </c>
      <c r="X251" s="1329">
        <f t="shared" si="65"/>
        <v>0</v>
      </c>
      <c r="Y251" s="1329">
        <f t="shared" si="66"/>
        <v>0</v>
      </c>
      <c r="Z251" s="1329">
        <f t="shared" si="67"/>
        <v>0</v>
      </c>
      <c r="AA251" s="1329">
        <f t="shared" si="68"/>
        <v>0</v>
      </c>
      <c r="AB251" s="1329"/>
      <c r="AC251" s="1329">
        <f t="shared" si="69"/>
        <v>0</v>
      </c>
      <c r="AD251" s="1329"/>
      <c r="AE251" s="1329">
        <f t="shared" si="70"/>
        <v>0</v>
      </c>
      <c r="AF251" s="1329">
        <f t="shared" si="71"/>
        <v>0</v>
      </c>
      <c r="AG251" s="1330">
        <f t="shared" si="61"/>
        <v>0</v>
      </c>
      <c r="AH251" s="1330">
        <f t="shared" si="62"/>
        <v>0</v>
      </c>
    </row>
    <row r="252" spans="2:34">
      <c r="B252" s="1687"/>
      <c r="C252" s="1687"/>
      <c r="D252" s="1687"/>
      <c r="E252" s="2152"/>
      <c r="F252" s="1326"/>
      <c r="G252" s="1327"/>
      <c r="H252" s="1326"/>
      <c r="I252" s="1327"/>
      <c r="J252" s="1687"/>
      <c r="K252" s="1687"/>
      <c r="L252" s="1687"/>
      <c r="M252" s="1328"/>
      <c r="N252" s="1328"/>
      <c r="O252" s="1687"/>
      <c r="P252" s="1687"/>
      <c r="Q252" s="1687"/>
      <c r="R252" s="1326"/>
      <c r="S252" s="1327"/>
      <c r="T252" s="1326"/>
      <c r="U252" s="1326"/>
      <c r="V252" s="1329">
        <f t="shared" si="63"/>
        <v>0</v>
      </c>
      <c r="W252" s="1329">
        <f t="shared" si="64"/>
        <v>0</v>
      </c>
      <c r="X252" s="1329">
        <f t="shared" si="65"/>
        <v>0</v>
      </c>
      <c r="Y252" s="1329">
        <f t="shared" si="66"/>
        <v>0</v>
      </c>
      <c r="Z252" s="1329">
        <f t="shared" si="67"/>
        <v>0</v>
      </c>
      <c r="AA252" s="1329">
        <f t="shared" si="68"/>
        <v>0</v>
      </c>
      <c r="AB252" s="1329"/>
      <c r="AC252" s="1329">
        <f t="shared" si="69"/>
        <v>0</v>
      </c>
      <c r="AD252" s="1329"/>
      <c r="AE252" s="1329">
        <f t="shared" si="70"/>
        <v>0</v>
      </c>
      <c r="AF252" s="1329">
        <f t="shared" si="71"/>
        <v>0</v>
      </c>
      <c r="AG252" s="1330">
        <f t="shared" si="61"/>
        <v>0</v>
      </c>
      <c r="AH252" s="1330">
        <f t="shared" si="62"/>
        <v>0</v>
      </c>
    </row>
    <row r="253" spans="2:34">
      <c r="B253" s="1687"/>
      <c r="C253" s="1687"/>
      <c r="D253" s="1687"/>
      <c r="E253" s="2152"/>
      <c r="F253" s="1326"/>
      <c r="G253" s="1327"/>
      <c r="H253" s="1326"/>
      <c r="I253" s="1327"/>
      <c r="J253" s="1687"/>
      <c r="K253" s="1687"/>
      <c r="L253" s="1687"/>
      <c r="M253" s="1328"/>
      <c r="N253" s="1328"/>
      <c r="O253" s="1687"/>
      <c r="P253" s="1687"/>
      <c r="Q253" s="1687"/>
      <c r="R253" s="1326"/>
      <c r="S253" s="1327"/>
      <c r="T253" s="1326"/>
      <c r="U253" s="1326"/>
      <c r="V253" s="1329">
        <f t="shared" si="63"/>
        <v>0</v>
      </c>
      <c r="W253" s="1329">
        <f t="shared" si="64"/>
        <v>0</v>
      </c>
      <c r="X253" s="1329">
        <f t="shared" si="65"/>
        <v>0</v>
      </c>
      <c r="Y253" s="1329">
        <f t="shared" si="66"/>
        <v>0</v>
      </c>
      <c r="Z253" s="1329">
        <f t="shared" si="67"/>
        <v>0</v>
      </c>
      <c r="AA253" s="1329">
        <f t="shared" si="68"/>
        <v>0</v>
      </c>
      <c r="AB253" s="1329"/>
      <c r="AC253" s="1329">
        <f t="shared" si="69"/>
        <v>0</v>
      </c>
      <c r="AD253" s="1329"/>
      <c r="AE253" s="1329">
        <f t="shared" si="70"/>
        <v>0</v>
      </c>
      <c r="AF253" s="1329">
        <f t="shared" si="71"/>
        <v>0</v>
      </c>
      <c r="AG253" s="1330">
        <f t="shared" si="61"/>
        <v>0</v>
      </c>
      <c r="AH253" s="1330">
        <f t="shared" si="62"/>
        <v>0</v>
      </c>
    </row>
    <row r="254" spans="2:34">
      <c r="B254" s="1687"/>
      <c r="C254" s="1687"/>
      <c r="D254" s="1687"/>
      <c r="E254" s="2152"/>
      <c r="F254" s="1326"/>
      <c r="G254" s="1327"/>
      <c r="H254" s="1326"/>
      <c r="I254" s="1327"/>
      <c r="J254" s="1687"/>
      <c r="K254" s="1687"/>
      <c r="L254" s="1687"/>
      <c r="M254" s="1328"/>
      <c r="N254" s="1328"/>
      <c r="O254" s="1687"/>
      <c r="P254" s="1687"/>
      <c r="Q254" s="1687"/>
      <c r="R254" s="1326"/>
      <c r="S254" s="1327"/>
      <c r="T254" s="1326"/>
      <c r="U254" s="1326"/>
      <c r="V254" s="1329">
        <f t="shared" si="63"/>
        <v>0</v>
      </c>
      <c r="W254" s="1329">
        <f t="shared" si="64"/>
        <v>0</v>
      </c>
      <c r="X254" s="1329">
        <f t="shared" si="65"/>
        <v>0</v>
      </c>
      <c r="Y254" s="1329">
        <f t="shared" si="66"/>
        <v>0</v>
      </c>
      <c r="Z254" s="1329">
        <f t="shared" si="67"/>
        <v>0</v>
      </c>
      <c r="AA254" s="1329">
        <f t="shared" si="68"/>
        <v>0</v>
      </c>
      <c r="AB254" s="1329"/>
      <c r="AC254" s="1329">
        <f t="shared" si="69"/>
        <v>0</v>
      </c>
      <c r="AD254" s="1329"/>
      <c r="AE254" s="1329">
        <f t="shared" si="70"/>
        <v>0</v>
      </c>
      <c r="AF254" s="1329">
        <f t="shared" si="71"/>
        <v>0</v>
      </c>
      <c r="AG254" s="1330">
        <f t="shared" si="61"/>
        <v>0</v>
      </c>
      <c r="AH254" s="1330">
        <f t="shared" si="62"/>
        <v>0</v>
      </c>
    </row>
    <row r="255" spans="2:34">
      <c r="B255" s="1687"/>
      <c r="C255" s="1687"/>
      <c r="D255" s="1687"/>
      <c r="E255" s="2152"/>
      <c r="F255" s="1326"/>
      <c r="G255" s="1327"/>
      <c r="H255" s="1326"/>
      <c r="I255" s="1327"/>
      <c r="J255" s="1687"/>
      <c r="K255" s="1687"/>
      <c r="L255" s="1687"/>
      <c r="M255" s="1328"/>
      <c r="N255" s="1328"/>
      <c r="O255" s="1687"/>
      <c r="P255" s="1687"/>
      <c r="Q255" s="1687"/>
      <c r="R255" s="1326"/>
      <c r="S255" s="1327"/>
      <c r="T255" s="1326"/>
      <c r="U255" s="1326"/>
      <c r="V255" s="1329">
        <f t="shared" si="63"/>
        <v>0</v>
      </c>
      <c r="W255" s="1329">
        <f t="shared" si="64"/>
        <v>0</v>
      </c>
      <c r="X255" s="1329">
        <f t="shared" si="65"/>
        <v>0</v>
      </c>
      <c r="Y255" s="1329">
        <f t="shared" si="66"/>
        <v>0</v>
      </c>
      <c r="Z255" s="1329">
        <f t="shared" si="67"/>
        <v>0</v>
      </c>
      <c r="AA255" s="1329">
        <f t="shared" si="68"/>
        <v>0</v>
      </c>
      <c r="AB255" s="1329"/>
      <c r="AC255" s="1329">
        <f t="shared" si="69"/>
        <v>0</v>
      </c>
      <c r="AD255" s="1329"/>
      <c r="AE255" s="1329">
        <f t="shared" si="70"/>
        <v>0</v>
      </c>
      <c r="AF255" s="1329">
        <f t="shared" si="71"/>
        <v>0</v>
      </c>
      <c r="AG255" s="1330">
        <f t="shared" si="61"/>
        <v>0</v>
      </c>
      <c r="AH255" s="1330">
        <f t="shared" si="62"/>
        <v>0</v>
      </c>
    </row>
    <row r="256" spans="2:34">
      <c r="B256" s="1687"/>
      <c r="C256" s="1687"/>
      <c r="D256" s="1687"/>
      <c r="E256" s="2152"/>
      <c r="F256" s="1326"/>
      <c r="G256" s="1327"/>
      <c r="H256" s="1326"/>
      <c r="I256" s="1327"/>
      <c r="J256" s="1687"/>
      <c r="K256" s="1687"/>
      <c r="L256" s="1687"/>
      <c r="M256" s="1328"/>
      <c r="N256" s="1328"/>
      <c r="O256" s="1687"/>
      <c r="P256" s="1687"/>
      <c r="Q256" s="1687"/>
      <c r="R256" s="1326"/>
      <c r="S256" s="1327"/>
      <c r="T256" s="1326"/>
      <c r="U256" s="1326"/>
      <c r="V256" s="1329">
        <f t="shared" si="63"/>
        <v>0</v>
      </c>
      <c r="W256" s="1329">
        <f t="shared" si="64"/>
        <v>0</v>
      </c>
      <c r="X256" s="1329">
        <f t="shared" si="65"/>
        <v>0</v>
      </c>
      <c r="Y256" s="1329">
        <f t="shared" si="66"/>
        <v>0</v>
      </c>
      <c r="Z256" s="1329">
        <f t="shared" si="67"/>
        <v>0</v>
      </c>
      <c r="AA256" s="1329">
        <f t="shared" si="68"/>
        <v>0</v>
      </c>
      <c r="AB256" s="1329"/>
      <c r="AC256" s="1329">
        <f t="shared" si="69"/>
        <v>0</v>
      </c>
      <c r="AD256" s="1329"/>
      <c r="AE256" s="1329">
        <f t="shared" si="70"/>
        <v>0</v>
      </c>
      <c r="AF256" s="1329">
        <f t="shared" si="71"/>
        <v>0</v>
      </c>
      <c r="AG256" s="1330">
        <f t="shared" si="61"/>
        <v>0</v>
      </c>
      <c r="AH256" s="1330">
        <f t="shared" si="62"/>
        <v>0</v>
      </c>
    </row>
    <row r="257" spans="2:34">
      <c r="B257" s="1687"/>
      <c r="C257" s="1687"/>
      <c r="D257" s="1687"/>
      <c r="E257" s="2152"/>
      <c r="F257" s="1326"/>
      <c r="G257" s="1327"/>
      <c r="H257" s="1326"/>
      <c r="I257" s="1327"/>
      <c r="J257" s="1687"/>
      <c r="K257" s="1687"/>
      <c r="L257" s="1687"/>
      <c r="M257" s="1328"/>
      <c r="N257" s="1328"/>
      <c r="O257" s="1687"/>
      <c r="P257" s="1687"/>
      <c r="Q257" s="1687"/>
      <c r="R257" s="1326"/>
      <c r="S257" s="1327"/>
      <c r="T257" s="1326"/>
      <c r="U257" s="1326"/>
      <c r="V257" s="1329">
        <f t="shared" si="63"/>
        <v>0</v>
      </c>
      <c r="W257" s="1329">
        <f t="shared" si="64"/>
        <v>0</v>
      </c>
      <c r="X257" s="1329">
        <f t="shared" si="65"/>
        <v>0</v>
      </c>
      <c r="Y257" s="1329">
        <f t="shared" si="66"/>
        <v>0</v>
      </c>
      <c r="Z257" s="1329">
        <f t="shared" si="67"/>
        <v>0</v>
      </c>
      <c r="AA257" s="1329">
        <f t="shared" si="68"/>
        <v>0</v>
      </c>
      <c r="AB257" s="1329"/>
      <c r="AC257" s="1329">
        <f t="shared" si="69"/>
        <v>0</v>
      </c>
      <c r="AD257" s="1329"/>
      <c r="AE257" s="1329">
        <f t="shared" si="70"/>
        <v>0</v>
      </c>
      <c r="AF257" s="1329">
        <f t="shared" si="71"/>
        <v>0</v>
      </c>
      <c r="AG257" s="1330">
        <f t="shared" si="61"/>
        <v>0</v>
      </c>
      <c r="AH257" s="1330">
        <f t="shared" si="62"/>
        <v>0</v>
      </c>
    </row>
    <row r="258" spans="2:34">
      <c r="B258" s="1687"/>
      <c r="C258" s="1687"/>
      <c r="D258" s="1687"/>
      <c r="E258" s="2152"/>
      <c r="F258" s="1326"/>
      <c r="G258" s="1327"/>
      <c r="H258" s="1326"/>
      <c r="I258" s="1327"/>
      <c r="J258" s="1687"/>
      <c r="K258" s="1687"/>
      <c r="L258" s="1687"/>
      <c r="M258" s="1328"/>
      <c r="N258" s="1328"/>
      <c r="O258" s="1687"/>
      <c r="P258" s="1687"/>
      <c r="Q258" s="1687"/>
      <c r="R258" s="1326"/>
      <c r="S258" s="1327"/>
      <c r="T258" s="1326"/>
      <c r="U258" s="1326"/>
      <c r="V258" s="1329">
        <f t="shared" si="63"/>
        <v>0</v>
      </c>
      <c r="W258" s="1329">
        <f t="shared" si="64"/>
        <v>0</v>
      </c>
      <c r="X258" s="1329">
        <f t="shared" si="65"/>
        <v>0</v>
      </c>
      <c r="Y258" s="1329">
        <f t="shared" si="66"/>
        <v>0</v>
      </c>
      <c r="Z258" s="1329">
        <f t="shared" si="67"/>
        <v>0</v>
      </c>
      <c r="AA258" s="1329">
        <f t="shared" si="68"/>
        <v>0</v>
      </c>
      <c r="AB258" s="1329"/>
      <c r="AC258" s="1329">
        <f t="shared" si="69"/>
        <v>0</v>
      </c>
      <c r="AD258" s="1329"/>
      <c r="AE258" s="1329">
        <f t="shared" si="70"/>
        <v>0</v>
      </c>
      <c r="AF258" s="1329">
        <f t="shared" si="71"/>
        <v>0</v>
      </c>
      <c r="AG258" s="1330">
        <f t="shared" si="61"/>
        <v>0</v>
      </c>
      <c r="AH258" s="1330">
        <f t="shared" si="62"/>
        <v>0</v>
      </c>
    </row>
    <row r="259" spans="2:34">
      <c r="B259" s="1687"/>
      <c r="C259" s="1687"/>
      <c r="D259" s="1687"/>
      <c r="E259" s="2152"/>
      <c r="F259" s="1326"/>
      <c r="G259" s="1327"/>
      <c r="H259" s="1326"/>
      <c r="I259" s="1327"/>
      <c r="J259" s="1687"/>
      <c r="K259" s="1687"/>
      <c r="L259" s="1687"/>
      <c r="M259" s="1328"/>
      <c r="N259" s="1328"/>
      <c r="O259" s="1687"/>
      <c r="P259" s="1687"/>
      <c r="Q259" s="1687"/>
      <c r="R259" s="1326"/>
      <c r="S259" s="1327"/>
      <c r="T259" s="1326"/>
      <c r="U259" s="1326"/>
      <c r="V259" s="1329">
        <f t="shared" si="63"/>
        <v>0</v>
      </c>
      <c r="W259" s="1329">
        <f t="shared" si="64"/>
        <v>0</v>
      </c>
      <c r="X259" s="1329">
        <f t="shared" si="65"/>
        <v>0</v>
      </c>
      <c r="Y259" s="1329">
        <f t="shared" si="66"/>
        <v>0</v>
      </c>
      <c r="Z259" s="1329">
        <f t="shared" si="67"/>
        <v>0</v>
      </c>
      <c r="AA259" s="1329">
        <f t="shared" si="68"/>
        <v>0</v>
      </c>
      <c r="AB259" s="1329"/>
      <c r="AC259" s="1329">
        <f t="shared" si="69"/>
        <v>0</v>
      </c>
      <c r="AD259" s="1329"/>
      <c r="AE259" s="1329">
        <f t="shared" si="70"/>
        <v>0</v>
      </c>
      <c r="AF259" s="1329">
        <f t="shared" si="71"/>
        <v>0</v>
      </c>
      <c r="AG259" s="1330">
        <f t="shared" si="61"/>
        <v>0</v>
      </c>
      <c r="AH259" s="1330">
        <f t="shared" si="62"/>
        <v>0</v>
      </c>
    </row>
    <row r="260" spans="2:34">
      <c r="B260" s="1687"/>
      <c r="C260" s="1687"/>
      <c r="D260" s="1687"/>
      <c r="E260" s="2152"/>
      <c r="F260" s="1326"/>
      <c r="G260" s="1327"/>
      <c r="H260" s="1326"/>
      <c r="I260" s="1327"/>
      <c r="J260" s="1687"/>
      <c r="K260" s="1687"/>
      <c r="L260" s="1687"/>
      <c r="M260" s="1328"/>
      <c r="N260" s="1328"/>
      <c r="O260" s="1687"/>
      <c r="P260" s="1687"/>
      <c r="Q260" s="1687"/>
      <c r="R260" s="1326"/>
      <c r="S260" s="1327"/>
      <c r="T260" s="1326"/>
      <c r="U260" s="1326"/>
      <c r="V260" s="1329">
        <f t="shared" si="63"/>
        <v>0</v>
      </c>
      <c r="W260" s="1329">
        <f t="shared" si="64"/>
        <v>0</v>
      </c>
      <c r="X260" s="1329">
        <f t="shared" si="65"/>
        <v>0</v>
      </c>
      <c r="Y260" s="1329">
        <f t="shared" si="66"/>
        <v>0</v>
      </c>
      <c r="Z260" s="1329">
        <f t="shared" si="67"/>
        <v>0</v>
      </c>
      <c r="AA260" s="1329">
        <f t="shared" si="68"/>
        <v>0</v>
      </c>
      <c r="AB260" s="1329"/>
      <c r="AC260" s="1329">
        <f t="shared" si="69"/>
        <v>0</v>
      </c>
      <c r="AD260" s="1329"/>
      <c r="AE260" s="1329">
        <f t="shared" si="70"/>
        <v>0</v>
      </c>
      <c r="AF260" s="1329">
        <f t="shared" si="71"/>
        <v>0</v>
      </c>
      <c r="AG260" s="1330">
        <f t="shared" si="61"/>
        <v>0</v>
      </c>
      <c r="AH260" s="1330">
        <f t="shared" si="62"/>
        <v>0</v>
      </c>
    </row>
    <row r="261" spans="2:34">
      <c r="B261" s="1687"/>
      <c r="C261" s="1687"/>
      <c r="D261" s="1687"/>
      <c r="E261" s="2152"/>
      <c r="F261" s="1326"/>
      <c r="G261" s="1327"/>
      <c r="H261" s="1326"/>
      <c r="I261" s="1327"/>
      <c r="J261" s="1687"/>
      <c r="K261" s="1687"/>
      <c r="L261" s="1687"/>
      <c r="M261" s="1328"/>
      <c r="N261" s="1328"/>
      <c r="O261" s="1687"/>
      <c r="P261" s="1687"/>
      <c r="Q261" s="1687"/>
      <c r="R261" s="1326"/>
      <c r="S261" s="1327"/>
      <c r="T261" s="1326"/>
      <c r="U261" s="1326"/>
      <c r="V261" s="1329">
        <f t="shared" si="63"/>
        <v>0</v>
      </c>
      <c r="W261" s="1329">
        <f t="shared" si="64"/>
        <v>0</v>
      </c>
      <c r="X261" s="1329">
        <f t="shared" si="65"/>
        <v>0</v>
      </c>
      <c r="Y261" s="1329">
        <f t="shared" si="66"/>
        <v>0</v>
      </c>
      <c r="Z261" s="1329">
        <f t="shared" si="67"/>
        <v>0</v>
      </c>
      <c r="AA261" s="1329">
        <f t="shared" si="68"/>
        <v>0</v>
      </c>
      <c r="AB261" s="1329"/>
      <c r="AC261" s="1329">
        <f t="shared" si="69"/>
        <v>0</v>
      </c>
      <c r="AD261" s="1329"/>
      <c r="AE261" s="1329">
        <f t="shared" si="70"/>
        <v>0</v>
      </c>
      <c r="AF261" s="1329">
        <f t="shared" si="71"/>
        <v>0</v>
      </c>
      <c r="AG261" s="1330">
        <f t="shared" si="61"/>
        <v>0</v>
      </c>
      <c r="AH261" s="1330">
        <f t="shared" si="62"/>
        <v>0</v>
      </c>
    </row>
    <row r="262" spans="2:34">
      <c r="B262" s="1687"/>
      <c r="C262" s="1687"/>
      <c r="D262" s="1687"/>
      <c r="E262" s="2152"/>
      <c r="F262" s="1326"/>
      <c r="G262" s="1327"/>
      <c r="H262" s="1326"/>
      <c r="I262" s="1327"/>
      <c r="J262" s="1687"/>
      <c r="K262" s="1687"/>
      <c r="L262" s="1687"/>
      <c r="M262" s="1328"/>
      <c r="N262" s="1328"/>
      <c r="O262" s="1687"/>
      <c r="P262" s="1687"/>
      <c r="Q262" s="1687"/>
      <c r="R262" s="1326"/>
      <c r="S262" s="1327"/>
      <c r="T262" s="1326"/>
      <c r="U262" s="1326"/>
      <c r="V262" s="1329">
        <f t="shared" si="63"/>
        <v>0</v>
      </c>
      <c r="W262" s="1329">
        <f t="shared" si="64"/>
        <v>0</v>
      </c>
      <c r="X262" s="1329">
        <f t="shared" si="65"/>
        <v>0</v>
      </c>
      <c r="Y262" s="1329">
        <f t="shared" si="66"/>
        <v>0</v>
      </c>
      <c r="Z262" s="1329">
        <f t="shared" si="67"/>
        <v>0</v>
      </c>
      <c r="AA262" s="1329">
        <f t="shared" si="68"/>
        <v>0</v>
      </c>
      <c r="AB262" s="1329"/>
      <c r="AC262" s="1329">
        <f t="shared" si="69"/>
        <v>0</v>
      </c>
      <c r="AD262" s="1329"/>
      <c r="AE262" s="1329">
        <f t="shared" si="70"/>
        <v>0</v>
      </c>
      <c r="AF262" s="1329">
        <f t="shared" si="71"/>
        <v>0</v>
      </c>
      <c r="AG262" s="1330">
        <f t="shared" si="61"/>
        <v>0</v>
      </c>
      <c r="AH262" s="1330">
        <f t="shared" si="62"/>
        <v>0</v>
      </c>
    </row>
    <row r="263" spans="2:34">
      <c r="B263" s="1687"/>
      <c r="C263" s="1687"/>
      <c r="D263" s="1687"/>
      <c r="E263" s="2152"/>
      <c r="F263" s="1326"/>
      <c r="G263" s="1327"/>
      <c r="H263" s="1326"/>
      <c r="I263" s="1327"/>
      <c r="J263" s="1687"/>
      <c r="K263" s="1687"/>
      <c r="L263" s="1687"/>
      <c r="M263" s="1328"/>
      <c r="N263" s="1328"/>
      <c r="O263" s="1687"/>
      <c r="P263" s="1687"/>
      <c r="Q263" s="1687"/>
      <c r="R263" s="1326"/>
      <c r="S263" s="1327"/>
      <c r="T263" s="1326"/>
      <c r="U263" s="1326"/>
      <c r="V263" s="1329">
        <f t="shared" si="63"/>
        <v>0</v>
      </c>
      <c r="W263" s="1329">
        <f t="shared" si="64"/>
        <v>0</v>
      </c>
      <c r="X263" s="1329">
        <f t="shared" si="65"/>
        <v>0</v>
      </c>
      <c r="Y263" s="1329">
        <f t="shared" si="66"/>
        <v>0</v>
      </c>
      <c r="Z263" s="1329">
        <f t="shared" si="67"/>
        <v>0</v>
      </c>
      <c r="AA263" s="1329">
        <f t="shared" si="68"/>
        <v>0</v>
      </c>
      <c r="AB263" s="1329"/>
      <c r="AC263" s="1329">
        <f t="shared" si="69"/>
        <v>0</v>
      </c>
      <c r="AD263" s="1329"/>
      <c r="AE263" s="1329">
        <f t="shared" si="70"/>
        <v>0</v>
      </c>
      <c r="AF263" s="1329">
        <f t="shared" si="71"/>
        <v>0</v>
      </c>
      <c r="AG263" s="1330">
        <f t="shared" si="61"/>
        <v>0</v>
      </c>
      <c r="AH263" s="1330">
        <f t="shared" si="62"/>
        <v>0</v>
      </c>
    </row>
    <row r="264" spans="2:34">
      <c r="B264" s="1687"/>
      <c r="C264" s="1687"/>
      <c r="D264" s="1687"/>
      <c r="E264" s="2152"/>
      <c r="F264" s="1326"/>
      <c r="G264" s="1327"/>
      <c r="H264" s="1326"/>
      <c r="I264" s="1327"/>
      <c r="J264" s="1687"/>
      <c r="K264" s="1687"/>
      <c r="L264" s="1687"/>
      <c r="M264" s="1328"/>
      <c r="N264" s="1328"/>
      <c r="O264" s="1687"/>
      <c r="P264" s="1687"/>
      <c r="Q264" s="1687"/>
      <c r="R264" s="1326"/>
      <c r="S264" s="1327"/>
      <c r="T264" s="1326"/>
      <c r="U264" s="1326"/>
      <c r="V264" s="1329">
        <f t="shared" si="63"/>
        <v>0</v>
      </c>
      <c r="W264" s="1329">
        <f t="shared" si="64"/>
        <v>0</v>
      </c>
      <c r="X264" s="1329">
        <f t="shared" si="65"/>
        <v>0</v>
      </c>
      <c r="Y264" s="1329">
        <f t="shared" si="66"/>
        <v>0</v>
      </c>
      <c r="Z264" s="1329">
        <f t="shared" si="67"/>
        <v>0</v>
      </c>
      <c r="AA264" s="1329">
        <f t="shared" si="68"/>
        <v>0</v>
      </c>
      <c r="AB264" s="1329"/>
      <c r="AC264" s="1329">
        <f t="shared" si="69"/>
        <v>0</v>
      </c>
      <c r="AD264" s="1329"/>
      <c r="AE264" s="1329">
        <f t="shared" si="70"/>
        <v>0</v>
      </c>
      <c r="AF264" s="1329">
        <f t="shared" si="71"/>
        <v>0</v>
      </c>
      <c r="AG264" s="1330">
        <f t="shared" si="61"/>
        <v>0</v>
      </c>
      <c r="AH264" s="1330">
        <f t="shared" si="62"/>
        <v>0</v>
      </c>
    </row>
    <row r="265" spans="2:34">
      <c r="B265" s="1687"/>
      <c r="C265" s="1687"/>
      <c r="D265" s="1687"/>
      <c r="E265" s="2152"/>
      <c r="F265" s="1326"/>
      <c r="G265" s="1327"/>
      <c r="H265" s="1326"/>
      <c r="I265" s="1327"/>
      <c r="J265" s="1687"/>
      <c r="K265" s="1687"/>
      <c r="L265" s="1687"/>
      <c r="M265" s="1328"/>
      <c r="N265" s="1328"/>
      <c r="O265" s="1687"/>
      <c r="P265" s="1687"/>
      <c r="Q265" s="1687"/>
      <c r="R265" s="1326"/>
      <c r="S265" s="1327"/>
      <c r="T265" s="1326"/>
      <c r="U265" s="1326"/>
      <c r="V265" s="1329">
        <f t="shared" si="63"/>
        <v>0</v>
      </c>
      <c r="W265" s="1329">
        <f t="shared" si="64"/>
        <v>0</v>
      </c>
      <c r="X265" s="1329">
        <f t="shared" si="65"/>
        <v>0</v>
      </c>
      <c r="Y265" s="1329">
        <f t="shared" si="66"/>
        <v>0</v>
      </c>
      <c r="Z265" s="1329">
        <f t="shared" si="67"/>
        <v>0</v>
      </c>
      <c r="AA265" s="1329">
        <f t="shared" si="68"/>
        <v>0</v>
      </c>
      <c r="AB265" s="1329"/>
      <c r="AC265" s="1329">
        <f t="shared" si="69"/>
        <v>0</v>
      </c>
      <c r="AD265" s="1329"/>
      <c r="AE265" s="1329">
        <f t="shared" si="70"/>
        <v>0</v>
      </c>
      <c r="AF265" s="1329">
        <f t="shared" si="71"/>
        <v>0</v>
      </c>
      <c r="AG265" s="1330">
        <f t="shared" si="61"/>
        <v>0</v>
      </c>
      <c r="AH265" s="1330">
        <f t="shared" si="62"/>
        <v>0</v>
      </c>
    </row>
    <row r="266" spans="2:34">
      <c r="B266" s="1687"/>
      <c r="C266" s="1687"/>
      <c r="D266" s="1687"/>
      <c r="E266" s="2152"/>
      <c r="F266" s="1326"/>
      <c r="G266" s="1327"/>
      <c r="H266" s="1326"/>
      <c r="I266" s="1327"/>
      <c r="J266" s="1687"/>
      <c r="K266" s="1687"/>
      <c r="L266" s="1687"/>
      <c r="M266" s="1328"/>
      <c r="N266" s="1328"/>
      <c r="O266" s="1687"/>
      <c r="P266" s="1687"/>
      <c r="Q266" s="1687"/>
      <c r="R266" s="1326"/>
      <c r="S266" s="1327"/>
      <c r="T266" s="1326"/>
      <c r="U266" s="1326"/>
      <c r="V266" s="1329">
        <f t="shared" si="63"/>
        <v>0</v>
      </c>
      <c r="W266" s="1329">
        <f t="shared" si="64"/>
        <v>0</v>
      </c>
      <c r="X266" s="1329">
        <f t="shared" si="65"/>
        <v>0</v>
      </c>
      <c r="Y266" s="1329">
        <f t="shared" si="66"/>
        <v>0</v>
      </c>
      <c r="Z266" s="1329">
        <f t="shared" si="67"/>
        <v>0</v>
      </c>
      <c r="AA266" s="1329">
        <f t="shared" si="68"/>
        <v>0</v>
      </c>
      <c r="AB266" s="1329"/>
      <c r="AC266" s="1329">
        <f t="shared" si="69"/>
        <v>0</v>
      </c>
      <c r="AD266" s="1329"/>
      <c r="AE266" s="1329">
        <f t="shared" si="70"/>
        <v>0</v>
      </c>
      <c r="AF266" s="1329">
        <f t="shared" si="71"/>
        <v>0</v>
      </c>
      <c r="AG266" s="1330">
        <f t="shared" si="61"/>
        <v>0</v>
      </c>
      <c r="AH266" s="1330">
        <f t="shared" si="62"/>
        <v>0</v>
      </c>
    </row>
    <row r="267" spans="2:34">
      <c r="B267" s="1687"/>
      <c r="C267" s="1687"/>
      <c r="D267" s="1687"/>
      <c r="E267" s="2152"/>
      <c r="F267" s="1326"/>
      <c r="G267" s="1327"/>
      <c r="H267" s="1326"/>
      <c r="I267" s="1327"/>
      <c r="J267" s="1687"/>
      <c r="K267" s="1687"/>
      <c r="L267" s="1687"/>
      <c r="M267" s="1328"/>
      <c r="N267" s="1328"/>
      <c r="O267" s="1687"/>
      <c r="P267" s="1687"/>
      <c r="Q267" s="1687"/>
      <c r="R267" s="1326"/>
      <c r="S267" s="1327"/>
      <c r="T267" s="1326"/>
      <c r="U267" s="1326"/>
      <c r="V267" s="1329">
        <f t="shared" si="63"/>
        <v>0</v>
      </c>
      <c r="W267" s="1329">
        <f t="shared" si="64"/>
        <v>0</v>
      </c>
      <c r="X267" s="1329">
        <f t="shared" si="65"/>
        <v>0</v>
      </c>
      <c r="Y267" s="1329">
        <f t="shared" si="66"/>
        <v>0</v>
      </c>
      <c r="Z267" s="1329">
        <f t="shared" si="67"/>
        <v>0</v>
      </c>
      <c r="AA267" s="1329">
        <f t="shared" si="68"/>
        <v>0</v>
      </c>
      <c r="AB267" s="1329"/>
      <c r="AC267" s="1329">
        <f t="shared" si="69"/>
        <v>0</v>
      </c>
      <c r="AD267" s="1329"/>
      <c r="AE267" s="1329">
        <f t="shared" si="70"/>
        <v>0</v>
      </c>
      <c r="AF267" s="1329">
        <f t="shared" si="71"/>
        <v>0</v>
      </c>
      <c r="AG267" s="1330">
        <f t="shared" ref="AG267:AG415" si="72">IF(($M267*100)&gt;100,"C110 Invalid value greater than 100",IF(($M267*100)&lt;&gt;ROUND(($M267*100),2),($M267*100)&amp;": C110 Invalid no. of decimals",0))</f>
        <v>0</v>
      </c>
      <c r="AH267" s="1330">
        <f t="shared" ref="AH267:AH415" si="73">IF(($N267*100)&gt;100,"C120 Invalid value greater than 100",IF(($N267*100)&lt;&gt;ROUND(($N267*100),2),($N267*100)&amp;": C120 Invalid no. of decimals",0))</f>
        <v>0</v>
      </c>
    </row>
    <row r="268" spans="2:34">
      <c r="B268" s="1687"/>
      <c r="C268" s="1687"/>
      <c r="D268" s="1687"/>
      <c r="E268" s="2152"/>
      <c r="F268" s="1326"/>
      <c r="G268" s="1327"/>
      <c r="H268" s="1326"/>
      <c r="I268" s="1327"/>
      <c r="J268" s="1687"/>
      <c r="K268" s="1687"/>
      <c r="L268" s="1687"/>
      <c r="M268" s="1328"/>
      <c r="N268" s="1328"/>
      <c r="O268" s="1687"/>
      <c r="P268" s="1687"/>
      <c r="Q268" s="1687"/>
      <c r="R268" s="1326"/>
      <c r="S268" s="1327"/>
      <c r="T268" s="1326"/>
      <c r="U268" s="1326"/>
      <c r="V268" s="1329">
        <f t="shared" si="63"/>
        <v>0</v>
      </c>
      <c r="W268" s="1329">
        <f t="shared" si="64"/>
        <v>0</v>
      </c>
      <c r="X268" s="1329">
        <f t="shared" si="65"/>
        <v>0</v>
      </c>
      <c r="Y268" s="1329">
        <f t="shared" si="66"/>
        <v>0</v>
      </c>
      <c r="Z268" s="1329">
        <f t="shared" si="67"/>
        <v>0</v>
      </c>
      <c r="AA268" s="1329">
        <f t="shared" si="68"/>
        <v>0</v>
      </c>
      <c r="AB268" s="1329"/>
      <c r="AC268" s="1329">
        <f t="shared" si="69"/>
        <v>0</v>
      </c>
      <c r="AD268" s="1329"/>
      <c r="AE268" s="1329">
        <f t="shared" si="70"/>
        <v>0</v>
      </c>
      <c r="AF268" s="1329">
        <f t="shared" si="71"/>
        <v>0</v>
      </c>
      <c r="AG268" s="1330">
        <f t="shared" si="72"/>
        <v>0</v>
      </c>
      <c r="AH268" s="1330">
        <f t="shared" si="73"/>
        <v>0</v>
      </c>
    </row>
    <row r="269" spans="2:34">
      <c r="B269" s="1687"/>
      <c r="C269" s="1687"/>
      <c r="D269" s="1687"/>
      <c r="E269" s="2152"/>
      <c r="F269" s="1326"/>
      <c r="G269" s="1327"/>
      <c r="H269" s="1326"/>
      <c r="I269" s="1327"/>
      <c r="J269" s="1687"/>
      <c r="K269" s="1687"/>
      <c r="L269" s="1687"/>
      <c r="M269" s="1328"/>
      <c r="N269" s="1328"/>
      <c r="O269" s="1687"/>
      <c r="P269" s="1687"/>
      <c r="Q269" s="1687"/>
      <c r="R269" s="1326"/>
      <c r="S269" s="1327"/>
      <c r="T269" s="1326"/>
      <c r="U269" s="1326"/>
      <c r="V269" s="1329">
        <f t="shared" si="63"/>
        <v>0</v>
      </c>
      <c r="W269" s="1329">
        <f t="shared" si="64"/>
        <v>0</v>
      </c>
      <c r="X269" s="1329">
        <f t="shared" si="65"/>
        <v>0</v>
      </c>
      <c r="Y269" s="1329">
        <f t="shared" si="66"/>
        <v>0</v>
      </c>
      <c r="Z269" s="1329">
        <f t="shared" si="67"/>
        <v>0</v>
      </c>
      <c r="AA269" s="1329">
        <f t="shared" si="68"/>
        <v>0</v>
      </c>
      <c r="AB269" s="1329"/>
      <c r="AC269" s="1329">
        <f t="shared" si="69"/>
        <v>0</v>
      </c>
      <c r="AD269" s="1329"/>
      <c r="AE269" s="1329">
        <f t="shared" si="70"/>
        <v>0</v>
      </c>
      <c r="AF269" s="1329">
        <f t="shared" si="71"/>
        <v>0</v>
      </c>
      <c r="AG269" s="1330">
        <f t="shared" si="72"/>
        <v>0</v>
      </c>
      <c r="AH269" s="1330">
        <f t="shared" si="73"/>
        <v>0</v>
      </c>
    </row>
    <row r="270" spans="2:34">
      <c r="B270" s="1687"/>
      <c r="C270" s="1687"/>
      <c r="D270" s="1687"/>
      <c r="E270" s="2152"/>
      <c r="F270" s="1326"/>
      <c r="G270" s="1327"/>
      <c r="H270" s="1326"/>
      <c r="I270" s="1327"/>
      <c r="J270" s="1687"/>
      <c r="K270" s="1687"/>
      <c r="L270" s="1687"/>
      <c r="M270" s="1328"/>
      <c r="N270" s="1328"/>
      <c r="O270" s="1687"/>
      <c r="P270" s="1687"/>
      <c r="Q270" s="1687"/>
      <c r="R270" s="1326"/>
      <c r="S270" s="1327"/>
      <c r="T270" s="1326"/>
      <c r="U270" s="1326"/>
      <c r="V270" s="1329">
        <f t="shared" si="63"/>
        <v>0</v>
      </c>
      <c r="W270" s="1329">
        <f t="shared" si="64"/>
        <v>0</v>
      </c>
      <c r="X270" s="1329">
        <f t="shared" si="65"/>
        <v>0</v>
      </c>
      <c r="Y270" s="1329">
        <f t="shared" si="66"/>
        <v>0</v>
      </c>
      <c r="Z270" s="1329">
        <f t="shared" si="67"/>
        <v>0</v>
      </c>
      <c r="AA270" s="1329">
        <f t="shared" si="68"/>
        <v>0</v>
      </c>
      <c r="AB270" s="1329"/>
      <c r="AC270" s="1329">
        <f t="shared" si="69"/>
        <v>0</v>
      </c>
      <c r="AD270" s="1329"/>
      <c r="AE270" s="1329">
        <f t="shared" si="70"/>
        <v>0</v>
      </c>
      <c r="AF270" s="1329">
        <f t="shared" si="71"/>
        <v>0</v>
      </c>
      <c r="AG270" s="1330">
        <f t="shared" si="72"/>
        <v>0</v>
      </c>
      <c r="AH270" s="1330">
        <f t="shared" si="73"/>
        <v>0</v>
      </c>
    </row>
    <row r="271" spans="2:34">
      <c r="B271" s="1687"/>
      <c r="C271" s="1687"/>
      <c r="D271" s="1687"/>
      <c r="E271" s="2152"/>
      <c r="F271" s="1326"/>
      <c r="G271" s="1327"/>
      <c r="H271" s="1326"/>
      <c r="I271" s="1327"/>
      <c r="J271" s="1687"/>
      <c r="K271" s="1687"/>
      <c r="L271" s="1687"/>
      <c r="M271" s="1328"/>
      <c r="N271" s="1328"/>
      <c r="O271" s="1687"/>
      <c r="P271" s="1687"/>
      <c r="Q271" s="1687"/>
      <c r="R271" s="1326"/>
      <c r="S271" s="1327"/>
      <c r="T271" s="1326"/>
      <c r="U271" s="1326"/>
      <c r="V271" s="1329">
        <f t="shared" si="63"/>
        <v>0</v>
      </c>
      <c r="W271" s="1329">
        <f t="shared" si="64"/>
        <v>0</v>
      </c>
      <c r="X271" s="1329">
        <f t="shared" si="65"/>
        <v>0</v>
      </c>
      <c r="Y271" s="1329">
        <f t="shared" si="66"/>
        <v>0</v>
      </c>
      <c r="Z271" s="1329">
        <f t="shared" si="67"/>
        <v>0</v>
      </c>
      <c r="AA271" s="1329">
        <f t="shared" si="68"/>
        <v>0</v>
      </c>
      <c r="AB271" s="1329"/>
      <c r="AC271" s="1329">
        <f t="shared" si="69"/>
        <v>0</v>
      </c>
      <c r="AD271" s="1329"/>
      <c r="AE271" s="1329">
        <f t="shared" si="70"/>
        <v>0</v>
      </c>
      <c r="AF271" s="1329">
        <f t="shared" si="71"/>
        <v>0</v>
      </c>
      <c r="AG271" s="1330">
        <f t="shared" si="72"/>
        <v>0</v>
      </c>
      <c r="AH271" s="1330">
        <f t="shared" si="73"/>
        <v>0</v>
      </c>
    </row>
    <row r="272" spans="2:34">
      <c r="B272" s="1687"/>
      <c r="C272" s="1687"/>
      <c r="D272" s="1687"/>
      <c r="E272" s="2152"/>
      <c r="F272" s="1326"/>
      <c r="G272" s="1327"/>
      <c r="H272" s="1326"/>
      <c r="I272" s="1327"/>
      <c r="J272" s="1687"/>
      <c r="K272" s="1687"/>
      <c r="L272" s="1687"/>
      <c r="M272" s="1328"/>
      <c r="N272" s="1328"/>
      <c r="O272" s="1687"/>
      <c r="P272" s="1687"/>
      <c r="Q272" s="1687"/>
      <c r="R272" s="1326"/>
      <c r="S272" s="1327"/>
      <c r="T272" s="1326"/>
      <c r="U272" s="1326"/>
      <c r="V272" s="1329">
        <f t="shared" si="63"/>
        <v>0</v>
      </c>
      <c r="W272" s="1329">
        <f t="shared" si="64"/>
        <v>0</v>
      </c>
      <c r="X272" s="1329">
        <f t="shared" si="65"/>
        <v>0</v>
      </c>
      <c r="Y272" s="1329">
        <f t="shared" si="66"/>
        <v>0</v>
      </c>
      <c r="Z272" s="1329">
        <f t="shared" si="67"/>
        <v>0</v>
      </c>
      <c r="AA272" s="1329">
        <f t="shared" si="68"/>
        <v>0</v>
      </c>
      <c r="AB272" s="1329"/>
      <c r="AC272" s="1329">
        <f t="shared" si="69"/>
        <v>0</v>
      </c>
      <c r="AD272" s="1329"/>
      <c r="AE272" s="1329">
        <f t="shared" si="70"/>
        <v>0</v>
      </c>
      <c r="AF272" s="1329">
        <f t="shared" si="71"/>
        <v>0</v>
      </c>
      <c r="AG272" s="1330">
        <f t="shared" si="72"/>
        <v>0</v>
      </c>
      <c r="AH272" s="1330">
        <f t="shared" si="73"/>
        <v>0</v>
      </c>
    </row>
    <row r="273" spans="2:34">
      <c r="B273" s="1687"/>
      <c r="C273" s="1687"/>
      <c r="D273" s="1687"/>
      <c r="E273" s="2152"/>
      <c r="F273" s="1326"/>
      <c r="G273" s="1327"/>
      <c r="H273" s="1326"/>
      <c r="I273" s="1327"/>
      <c r="J273" s="1687"/>
      <c r="K273" s="1687"/>
      <c r="L273" s="1687"/>
      <c r="M273" s="1328"/>
      <c r="N273" s="1328"/>
      <c r="O273" s="1687"/>
      <c r="P273" s="1687"/>
      <c r="Q273" s="1687"/>
      <c r="R273" s="1326"/>
      <c r="S273" s="1327"/>
      <c r="T273" s="1326"/>
      <c r="U273" s="1326"/>
      <c r="V273" s="1329">
        <f t="shared" si="63"/>
        <v>0</v>
      </c>
      <c r="W273" s="1329">
        <f t="shared" si="64"/>
        <v>0</v>
      </c>
      <c r="X273" s="1329">
        <f t="shared" si="65"/>
        <v>0</v>
      </c>
      <c r="Y273" s="1329">
        <f t="shared" si="66"/>
        <v>0</v>
      </c>
      <c r="Z273" s="1329">
        <f t="shared" si="67"/>
        <v>0</v>
      </c>
      <c r="AA273" s="1329">
        <f t="shared" si="68"/>
        <v>0</v>
      </c>
      <c r="AB273" s="1329"/>
      <c r="AC273" s="1329">
        <f t="shared" si="69"/>
        <v>0</v>
      </c>
      <c r="AD273" s="1329"/>
      <c r="AE273" s="1329">
        <f t="shared" si="70"/>
        <v>0</v>
      </c>
      <c r="AF273" s="1329">
        <f t="shared" si="71"/>
        <v>0</v>
      </c>
      <c r="AG273" s="1330">
        <f t="shared" si="72"/>
        <v>0</v>
      </c>
      <c r="AH273" s="1330">
        <f t="shared" si="73"/>
        <v>0</v>
      </c>
    </row>
    <row r="274" spans="2:34">
      <c r="B274" s="1687"/>
      <c r="C274" s="1687"/>
      <c r="D274" s="1687"/>
      <c r="E274" s="2152"/>
      <c r="F274" s="1326"/>
      <c r="G274" s="1327"/>
      <c r="H274" s="1326"/>
      <c r="I274" s="1327"/>
      <c r="J274" s="1687"/>
      <c r="K274" s="1687"/>
      <c r="L274" s="1687"/>
      <c r="M274" s="1328"/>
      <c r="N274" s="1328"/>
      <c r="O274" s="1687"/>
      <c r="P274" s="1687"/>
      <c r="Q274" s="1687"/>
      <c r="R274" s="1326"/>
      <c r="S274" s="1327"/>
      <c r="T274" s="1326"/>
      <c r="U274" s="1326"/>
      <c r="V274" s="1329">
        <f t="shared" si="63"/>
        <v>0</v>
      </c>
      <c r="W274" s="1329">
        <f t="shared" si="64"/>
        <v>0</v>
      </c>
      <c r="X274" s="1329">
        <f t="shared" si="65"/>
        <v>0</v>
      </c>
      <c r="Y274" s="1329">
        <f t="shared" si="66"/>
        <v>0</v>
      </c>
      <c r="Z274" s="1329">
        <f t="shared" si="67"/>
        <v>0</v>
      </c>
      <c r="AA274" s="1329">
        <f t="shared" si="68"/>
        <v>0</v>
      </c>
      <c r="AB274" s="1329"/>
      <c r="AC274" s="1329">
        <f t="shared" si="69"/>
        <v>0</v>
      </c>
      <c r="AD274" s="1329"/>
      <c r="AE274" s="1329">
        <f t="shared" si="70"/>
        <v>0</v>
      </c>
      <c r="AF274" s="1329">
        <f t="shared" si="71"/>
        <v>0</v>
      </c>
      <c r="AG274" s="1330">
        <f t="shared" si="72"/>
        <v>0</v>
      </c>
      <c r="AH274" s="1330">
        <f t="shared" si="73"/>
        <v>0</v>
      </c>
    </row>
    <row r="275" spans="2:34">
      <c r="B275" s="1687"/>
      <c r="C275" s="1687"/>
      <c r="D275" s="1687"/>
      <c r="E275" s="2152"/>
      <c r="F275" s="1326"/>
      <c r="G275" s="1327"/>
      <c r="H275" s="1326"/>
      <c r="I275" s="1327"/>
      <c r="J275" s="1687"/>
      <c r="K275" s="1687"/>
      <c r="L275" s="1687"/>
      <c r="M275" s="1328"/>
      <c r="N275" s="1328"/>
      <c r="O275" s="1687"/>
      <c r="P275" s="1687"/>
      <c r="Q275" s="1687"/>
      <c r="R275" s="1326"/>
      <c r="S275" s="1327"/>
      <c r="T275" s="1326"/>
      <c r="U275" s="1326"/>
      <c r="V275" s="1329">
        <f t="shared" si="63"/>
        <v>0</v>
      </c>
      <c r="W275" s="1329">
        <f t="shared" si="64"/>
        <v>0</v>
      </c>
      <c r="X275" s="1329">
        <f t="shared" si="65"/>
        <v>0</v>
      </c>
      <c r="Y275" s="1329">
        <f t="shared" si="66"/>
        <v>0</v>
      </c>
      <c r="Z275" s="1329">
        <f t="shared" si="67"/>
        <v>0</v>
      </c>
      <c r="AA275" s="1329">
        <f t="shared" si="68"/>
        <v>0</v>
      </c>
      <c r="AB275" s="1329"/>
      <c r="AC275" s="1329">
        <f t="shared" si="69"/>
        <v>0</v>
      </c>
      <c r="AD275" s="1329"/>
      <c r="AE275" s="1329">
        <f t="shared" si="70"/>
        <v>0</v>
      </c>
      <c r="AF275" s="1329">
        <f t="shared" si="71"/>
        <v>0</v>
      </c>
      <c r="AG275" s="1330">
        <f t="shared" si="72"/>
        <v>0</v>
      </c>
      <c r="AH275" s="1330">
        <f t="shared" si="73"/>
        <v>0</v>
      </c>
    </row>
    <row r="276" spans="2:34">
      <c r="B276" s="1687"/>
      <c r="C276" s="1687"/>
      <c r="D276" s="1687"/>
      <c r="E276" s="2152"/>
      <c r="F276" s="1326"/>
      <c r="G276" s="1327"/>
      <c r="H276" s="1326"/>
      <c r="I276" s="1327"/>
      <c r="J276" s="1687"/>
      <c r="K276" s="1687"/>
      <c r="L276" s="1687"/>
      <c r="M276" s="1328"/>
      <c r="N276" s="1328"/>
      <c r="O276" s="1687"/>
      <c r="P276" s="1687"/>
      <c r="Q276" s="1687"/>
      <c r="R276" s="1326"/>
      <c r="S276" s="1327"/>
      <c r="T276" s="1326"/>
      <c r="U276" s="1326"/>
      <c r="V276" s="1329">
        <f t="shared" si="63"/>
        <v>0</v>
      </c>
      <c r="W276" s="1329">
        <f t="shared" si="64"/>
        <v>0</v>
      </c>
      <c r="X276" s="1329">
        <f t="shared" si="65"/>
        <v>0</v>
      </c>
      <c r="Y276" s="1329">
        <f t="shared" si="66"/>
        <v>0</v>
      </c>
      <c r="Z276" s="1329">
        <f t="shared" si="67"/>
        <v>0</v>
      </c>
      <c r="AA276" s="1329">
        <f t="shared" si="68"/>
        <v>0</v>
      </c>
      <c r="AB276" s="1329"/>
      <c r="AC276" s="1329">
        <f t="shared" si="69"/>
        <v>0</v>
      </c>
      <c r="AD276" s="1329"/>
      <c r="AE276" s="1329">
        <f t="shared" si="70"/>
        <v>0</v>
      </c>
      <c r="AF276" s="1329">
        <f t="shared" si="71"/>
        <v>0</v>
      </c>
      <c r="AG276" s="1330">
        <f t="shared" si="72"/>
        <v>0</v>
      </c>
      <c r="AH276" s="1330">
        <f t="shared" si="73"/>
        <v>0</v>
      </c>
    </row>
    <row r="277" spans="2:34">
      <c r="B277" s="1687"/>
      <c r="C277" s="1687"/>
      <c r="D277" s="1687"/>
      <c r="E277" s="2152"/>
      <c r="F277" s="1326"/>
      <c r="G277" s="1327"/>
      <c r="H277" s="1326"/>
      <c r="I277" s="1327"/>
      <c r="J277" s="1687"/>
      <c r="K277" s="1687"/>
      <c r="L277" s="1687"/>
      <c r="M277" s="1328"/>
      <c r="N277" s="1328"/>
      <c r="O277" s="1687"/>
      <c r="P277" s="1687"/>
      <c r="Q277" s="1687"/>
      <c r="R277" s="1326"/>
      <c r="S277" s="1327"/>
      <c r="T277" s="1326"/>
      <c r="U277" s="1326"/>
      <c r="V277" s="1329">
        <f t="shared" si="63"/>
        <v>0</v>
      </c>
      <c r="W277" s="1329">
        <f t="shared" si="64"/>
        <v>0</v>
      </c>
      <c r="X277" s="1329">
        <f t="shared" si="65"/>
        <v>0</v>
      </c>
      <c r="Y277" s="1329">
        <f t="shared" si="66"/>
        <v>0</v>
      </c>
      <c r="Z277" s="1329">
        <f t="shared" si="67"/>
        <v>0</v>
      </c>
      <c r="AA277" s="1329">
        <f t="shared" si="68"/>
        <v>0</v>
      </c>
      <c r="AB277" s="1329"/>
      <c r="AC277" s="1329">
        <f t="shared" si="69"/>
        <v>0</v>
      </c>
      <c r="AD277" s="1329"/>
      <c r="AE277" s="1329">
        <f t="shared" si="70"/>
        <v>0</v>
      </c>
      <c r="AF277" s="1329">
        <f t="shared" si="71"/>
        <v>0</v>
      </c>
      <c r="AG277" s="1330">
        <f t="shared" si="72"/>
        <v>0</v>
      </c>
      <c r="AH277" s="1330">
        <f t="shared" si="73"/>
        <v>0</v>
      </c>
    </row>
    <row r="278" spans="2:34">
      <c r="B278" s="1687"/>
      <c r="C278" s="1687"/>
      <c r="D278" s="1687"/>
      <c r="E278" s="2152"/>
      <c r="F278" s="1326"/>
      <c r="G278" s="1327"/>
      <c r="H278" s="1326"/>
      <c r="I278" s="1327"/>
      <c r="J278" s="1687"/>
      <c r="K278" s="1687"/>
      <c r="L278" s="1687"/>
      <c r="M278" s="1328"/>
      <c r="N278" s="1328"/>
      <c r="O278" s="1687"/>
      <c r="P278" s="1687"/>
      <c r="Q278" s="1687"/>
      <c r="R278" s="1326"/>
      <c r="S278" s="1327"/>
      <c r="T278" s="1326"/>
      <c r="U278" s="1326"/>
      <c r="V278" s="1329">
        <f t="shared" si="63"/>
        <v>0</v>
      </c>
      <c r="W278" s="1329">
        <f t="shared" si="64"/>
        <v>0</v>
      </c>
      <c r="X278" s="1329">
        <f t="shared" si="65"/>
        <v>0</v>
      </c>
      <c r="Y278" s="1329">
        <f t="shared" si="66"/>
        <v>0</v>
      </c>
      <c r="Z278" s="1329">
        <f t="shared" si="67"/>
        <v>0</v>
      </c>
      <c r="AA278" s="1329">
        <f t="shared" si="68"/>
        <v>0</v>
      </c>
      <c r="AB278" s="1329"/>
      <c r="AC278" s="1329">
        <f t="shared" si="69"/>
        <v>0</v>
      </c>
      <c r="AD278" s="1329"/>
      <c r="AE278" s="1329">
        <f t="shared" si="70"/>
        <v>0</v>
      </c>
      <c r="AF278" s="1329">
        <f t="shared" si="71"/>
        <v>0</v>
      </c>
      <c r="AG278" s="1330">
        <f t="shared" si="72"/>
        <v>0</v>
      </c>
      <c r="AH278" s="1330">
        <f t="shared" si="73"/>
        <v>0</v>
      </c>
    </row>
    <row r="279" spans="2:34">
      <c r="B279" s="1687"/>
      <c r="C279" s="1687"/>
      <c r="D279" s="1687"/>
      <c r="E279" s="2152"/>
      <c r="F279" s="1326"/>
      <c r="G279" s="1327"/>
      <c r="H279" s="1326"/>
      <c r="I279" s="1327"/>
      <c r="J279" s="1687"/>
      <c r="K279" s="1687"/>
      <c r="L279" s="1687"/>
      <c r="M279" s="1328"/>
      <c r="N279" s="1328"/>
      <c r="O279" s="1687"/>
      <c r="P279" s="1687"/>
      <c r="Q279" s="1687"/>
      <c r="R279" s="1326"/>
      <c r="S279" s="1327"/>
      <c r="T279" s="1326"/>
      <c r="U279" s="1326"/>
      <c r="V279" s="1329">
        <f t="shared" si="63"/>
        <v>0</v>
      </c>
      <c r="W279" s="1329">
        <f t="shared" si="64"/>
        <v>0</v>
      </c>
      <c r="X279" s="1329">
        <f t="shared" si="65"/>
        <v>0</v>
      </c>
      <c r="Y279" s="1329">
        <f t="shared" si="66"/>
        <v>0</v>
      </c>
      <c r="Z279" s="1329">
        <f t="shared" si="67"/>
        <v>0</v>
      </c>
      <c r="AA279" s="1329">
        <f t="shared" si="68"/>
        <v>0</v>
      </c>
      <c r="AB279" s="1329"/>
      <c r="AC279" s="1329">
        <f t="shared" si="69"/>
        <v>0</v>
      </c>
      <c r="AD279" s="1329"/>
      <c r="AE279" s="1329">
        <f t="shared" si="70"/>
        <v>0</v>
      </c>
      <c r="AF279" s="1329">
        <f t="shared" si="71"/>
        <v>0</v>
      </c>
      <c r="AG279" s="1330">
        <f t="shared" si="72"/>
        <v>0</v>
      </c>
      <c r="AH279" s="1330">
        <f t="shared" si="73"/>
        <v>0</v>
      </c>
    </row>
    <row r="280" spans="2:34">
      <c r="B280" s="1687"/>
      <c r="C280" s="1687"/>
      <c r="D280" s="1687"/>
      <c r="E280" s="2152"/>
      <c r="F280" s="1326"/>
      <c r="G280" s="1327"/>
      <c r="H280" s="1326"/>
      <c r="I280" s="1327"/>
      <c r="J280" s="1687"/>
      <c r="K280" s="1687"/>
      <c r="L280" s="1687"/>
      <c r="M280" s="1328"/>
      <c r="N280" s="1328"/>
      <c r="O280" s="1687"/>
      <c r="P280" s="1687"/>
      <c r="Q280" s="1687"/>
      <c r="R280" s="1326"/>
      <c r="S280" s="1327"/>
      <c r="T280" s="1326"/>
      <c r="U280" s="1326"/>
      <c r="V280" s="1329">
        <f t="shared" si="63"/>
        <v>0</v>
      </c>
      <c r="W280" s="1329">
        <f t="shared" si="64"/>
        <v>0</v>
      </c>
      <c r="X280" s="1329">
        <f t="shared" si="65"/>
        <v>0</v>
      </c>
      <c r="Y280" s="1329">
        <f t="shared" si="66"/>
        <v>0</v>
      </c>
      <c r="Z280" s="1329">
        <f t="shared" si="67"/>
        <v>0</v>
      </c>
      <c r="AA280" s="1329">
        <f t="shared" si="68"/>
        <v>0</v>
      </c>
      <c r="AB280" s="1329"/>
      <c r="AC280" s="1329">
        <f t="shared" si="69"/>
        <v>0</v>
      </c>
      <c r="AD280" s="1329"/>
      <c r="AE280" s="1329">
        <f t="shared" si="70"/>
        <v>0</v>
      </c>
      <c r="AF280" s="1329">
        <f t="shared" si="71"/>
        <v>0</v>
      </c>
      <c r="AG280" s="1330">
        <f t="shared" si="72"/>
        <v>0</v>
      </c>
      <c r="AH280" s="1330">
        <f t="shared" si="73"/>
        <v>0</v>
      </c>
    </row>
    <row r="281" spans="2:34">
      <c r="B281" s="1687"/>
      <c r="C281" s="1687"/>
      <c r="D281" s="1687"/>
      <c r="E281" s="2152"/>
      <c r="F281" s="1326"/>
      <c r="G281" s="1327"/>
      <c r="H281" s="1326"/>
      <c r="I281" s="1327"/>
      <c r="J281" s="1687"/>
      <c r="K281" s="1687"/>
      <c r="L281" s="1687"/>
      <c r="M281" s="1328"/>
      <c r="N281" s="1328"/>
      <c r="O281" s="1687"/>
      <c r="P281" s="1687"/>
      <c r="Q281" s="1687"/>
      <c r="R281" s="1326"/>
      <c r="S281" s="1327"/>
      <c r="T281" s="1326"/>
      <c r="U281" s="1326"/>
      <c r="V281" s="1329">
        <f t="shared" si="63"/>
        <v>0</v>
      </c>
      <c r="W281" s="1329">
        <f t="shared" si="64"/>
        <v>0</v>
      </c>
      <c r="X281" s="1329">
        <f t="shared" si="65"/>
        <v>0</v>
      </c>
      <c r="Y281" s="1329">
        <f t="shared" si="66"/>
        <v>0</v>
      </c>
      <c r="Z281" s="1329">
        <f t="shared" si="67"/>
        <v>0</v>
      </c>
      <c r="AA281" s="1329">
        <f t="shared" si="68"/>
        <v>0</v>
      </c>
      <c r="AB281" s="1329"/>
      <c r="AC281" s="1329">
        <f t="shared" si="69"/>
        <v>0</v>
      </c>
      <c r="AD281" s="1329"/>
      <c r="AE281" s="1329">
        <f t="shared" si="70"/>
        <v>0</v>
      </c>
      <c r="AF281" s="1329">
        <f t="shared" si="71"/>
        <v>0</v>
      </c>
      <c r="AG281" s="1330">
        <f t="shared" si="72"/>
        <v>0</v>
      </c>
      <c r="AH281" s="1330">
        <f t="shared" si="73"/>
        <v>0</v>
      </c>
    </row>
    <row r="282" spans="2:34">
      <c r="B282" s="1687"/>
      <c r="C282" s="1687"/>
      <c r="D282" s="1687"/>
      <c r="E282" s="2152"/>
      <c r="F282" s="1326"/>
      <c r="G282" s="1327"/>
      <c r="H282" s="1326"/>
      <c r="I282" s="1327"/>
      <c r="J282" s="1687"/>
      <c r="K282" s="1687"/>
      <c r="L282" s="1687"/>
      <c r="M282" s="1328"/>
      <c r="N282" s="1328"/>
      <c r="O282" s="1687"/>
      <c r="P282" s="1687"/>
      <c r="Q282" s="1687"/>
      <c r="R282" s="1326"/>
      <c r="S282" s="1327"/>
      <c r="T282" s="1326"/>
      <c r="U282" s="1326"/>
      <c r="V282" s="1329">
        <f t="shared" si="63"/>
        <v>0</v>
      </c>
      <c r="W282" s="1329">
        <f t="shared" si="64"/>
        <v>0</v>
      </c>
      <c r="X282" s="1329">
        <f t="shared" si="65"/>
        <v>0</v>
      </c>
      <c r="Y282" s="1329">
        <f t="shared" si="66"/>
        <v>0</v>
      </c>
      <c r="Z282" s="1329">
        <f t="shared" si="67"/>
        <v>0</v>
      </c>
      <c r="AA282" s="1329">
        <f t="shared" si="68"/>
        <v>0</v>
      </c>
      <c r="AB282" s="1329"/>
      <c r="AC282" s="1329">
        <f t="shared" si="69"/>
        <v>0</v>
      </c>
      <c r="AD282" s="1329"/>
      <c r="AE282" s="1329">
        <f t="shared" si="70"/>
        <v>0</v>
      </c>
      <c r="AF282" s="1329">
        <f t="shared" si="71"/>
        <v>0</v>
      </c>
      <c r="AG282" s="1330">
        <f t="shared" si="72"/>
        <v>0</v>
      </c>
      <c r="AH282" s="1330">
        <f t="shared" si="73"/>
        <v>0</v>
      </c>
    </row>
    <row r="283" spans="2:34">
      <c r="B283" s="1687"/>
      <c r="C283" s="1687"/>
      <c r="D283" s="1687"/>
      <c r="E283" s="2152"/>
      <c r="F283" s="1326"/>
      <c r="G283" s="1327"/>
      <c r="H283" s="1326"/>
      <c r="I283" s="1327"/>
      <c r="J283" s="1687"/>
      <c r="K283" s="1687"/>
      <c r="L283" s="1687"/>
      <c r="M283" s="1328"/>
      <c r="N283" s="1328"/>
      <c r="O283" s="1687"/>
      <c r="P283" s="1687"/>
      <c r="Q283" s="1687"/>
      <c r="R283" s="1326"/>
      <c r="S283" s="1327"/>
      <c r="T283" s="1326"/>
      <c r="U283" s="1326"/>
      <c r="V283" s="1329">
        <f t="shared" si="63"/>
        <v>0</v>
      </c>
      <c r="W283" s="1329">
        <f t="shared" si="64"/>
        <v>0</v>
      </c>
      <c r="X283" s="1329">
        <f t="shared" si="65"/>
        <v>0</v>
      </c>
      <c r="Y283" s="1329">
        <f t="shared" si="66"/>
        <v>0</v>
      </c>
      <c r="Z283" s="1329">
        <f t="shared" si="67"/>
        <v>0</v>
      </c>
      <c r="AA283" s="1329">
        <f t="shared" si="68"/>
        <v>0</v>
      </c>
      <c r="AB283" s="1329"/>
      <c r="AC283" s="1329">
        <f t="shared" si="69"/>
        <v>0</v>
      </c>
      <c r="AD283" s="1329"/>
      <c r="AE283" s="1329">
        <f t="shared" si="70"/>
        <v>0</v>
      </c>
      <c r="AF283" s="1329">
        <f t="shared" si="71"/>
        <v>0</v>
      </c>
      <c r="AG283" s="1330">
        <f t="shared" si="72"/>
        <v>0</v>
      </c>
      <c r="AH283" s="1330">
        <f t="shared" si="73"/>
        <v>0</v>
      </c>
    </row>
    <row r="284" spans="2:34">
      <c r="B284" s="1687"/>
      <c r="C284" s="1687"/>
      <c r="D284" s="1687"/>
      <c r="E284" s="2152"/>
      <c r="F284" s="1326"/>
      <c r="G284" s="1327"/>
      <c r="H284" s="1326"/>
      <c r="I284" s="1327"/>
      <c r="J284" s="1687"/>
      <c r="K284" s="1687"/>
      <c r="L284" s="1687"/>
      <c r="M284" s="1328"/>
      <c r="N284" s="1328"/>
      <c r="O284" s="1687"/>
      <c r="P284" s="1687"/>
      <c r="Q284" s="1687"/>
      <c r="R284" s="1326"/>
      <c r="S284" s="1327"/>
      <c r="T284" s="1326"/>
      <c r="U284" s="1326"/>
      <c r="V284" s="1329">
        <f t="shared" si="63"/>
        <v>0</v>
      </c>
      <c r="W284" s="1329">
        <f t="shared" si="64"/>
        <v>0</v>
      </c>
      <c r="X284" s="1329">
        <f t="shared" si="65"/>
        <v>0</v>
      </c>
      <c r="Y284" s="1329">
        <f t="shared" si="66"/>
        <v>0</v>
      </c>
      <c r="Z284" s="1329">
        <f t="shared" si="67"/>
        <v>0</v>
      </c>
      <c r="AA284" s="1329">
        <f t="shared" si="68"/>
        <v>0</v>
      </c>
      <c r="AB284" s="1329"/>
      <c r="AC284" s="1329">
        <f t="shared" si="69"/>
        <v>0</v>
      </c>
      <c r="AD284" s="1329"/>
      <c r="AE284" s="1329">
        <f t="shared" si="70"/>
        <v>0</v>
      </c>
      <c r="AF284" s="1329">
        <f t="shared" si="71"/>
        <v>0</v>
      </c>
      <c r="AG284" s="1330">
        <f t="shared" si="72"/>
        <v>0</v>
      </c>
      <c r="AH284" s="1330">
        <f t="shared" si="73"/>
        <v>0</v>
      </c>
    </row>
    <row r="285" spans="2:34">
      <c r="B285" s="1687"/>
      <c r="C285" s="1687"/>
      <c r="D285" s="1687"/>
      <c r="E285" s="2152"/>
      <c r="F285" s="1326"/>
      <c r="G285" s="1327"/>
      <c r="H285" s="1326"/>
      <c r="I285" s="1327"/>
      <c r="J285" s="1687"/>
      <c r="K285" s="1687"/>
      <c r="L285" s="1687"/>
      <c r="M285" s="1328"/>
      <c r="N285" s="1328"/>
      <c r="O285" s="1687"/>
      <c r="P285" s="1687"/>
      <c r="Q285" s="1687"/>
      <c r="R285" s="1326"/>
      <c r="S285" s="1327"/>
      <c r="T285" s="1326"/>
      <c r="U285" s="1326"/>
      <c r="V285" s="1329">
        <f t="shared" si="63"/>
        <v>0</v>
      </c>
      <c r="W285" s="1329">
        <f t="shared" si="64"/>
        <v>0</v>
      </c>
      <c r="X285" s="1329">
        <f t="shared" si="65"/>
        <v>0</v>
      </c>
      <c r="Y285" s="1329">
        <f t="shared" si="66"/>
        <v>0</v>
      </c>
      <c r="Z285" s="1329">
        <f t="shared" si="67"/>
        <v>0</v>
      </c>
      <c r="AA285" s="1329">
        <f t="shared" si="68"/>
        <v>0</v>
      </c>
      <c r="AB285" s="1329"/>
      <c r="AC285" s="1329">
        <f t="shared" si="69"/>
        <v>0</v>
      </c>
      <c r="AD285" s="1329"/>
      <c r="AE285" s="1329">
        <f t="shared" si="70"/>
        <v>0</v>
      </c>
      <c r="AF285" s="1329">
        <f t="shared" si="71"/>
        <v>0</v>
      </c>
      <c r="AG285" s="1330">
        <f t="shared" si="72"/>
        <v>0</v>
      </c>
      <c r="AH285" s="1330">
        <f t="shared" si="73"/>
        <v>0</v>
      </c>
    </row>
    <row r="286" spans="2:34">
      <c r="B286" s="1687"/>
      <c r="C286" s="1687"/>
      <c r="D286" s="1687"/>
      <c r="E286" s="2152"/>
      <c r="F286" s="1326"/>
      <c r="G286" s="1327"/>
      <c r="H286" s="1326"/>
      <c r="I286" s="1327"/>
      <c r="J286" s="1687"/>
      <c r="K286" s="1687"/>
      <c r="L286" s="1687"/>
      <c r="M286" s="1328"/>
      <c r="N286" s="1328"/>
      <c r="O286" s="1687"/>
      <c r="P286" s="1687"/>
      <c r="Q286" s="1687"/>
      <c r="R286" s="1326"/>
      <c r="S286" s="1327"/>
      <c r="T286" s="1326"/>
      <c r="U286" s="1326"/>
      <c r="V286" s="1329">
        <f t="shared" si="63"/>
        <v>0</v>
      </c>
      <c r="W286" s="1329">
        <f t="shared" si="64"/>
        <v>0</v>
      </c>
      <c r="X286" s="1329">
        <f t="shared" si="65"/>
        <v>0</v>
      </c>
      <c r="Y286" s="1329">
        <f t="shared" si="66"/>
        <v>0</v>
      </c>
      <c r="Z286" s="1329">
        <f t="shared" si="67"/>
        <v>0</v>
      </c>
      <c r="AA286" s="1329">
        <f t="shared" si="68"/>
        <v>0</v>
      </c>
      <c r="AB286" s="1329"/>
      <c r="AC286" s="1329">
        <f t="shared" si="69"/>
        <v>0</v>
      </c>
      <c r="AD286" s="1329"/>
      <c r="AE286" s="1329">
        <f t="shared" si="70"/>
        <v>0</v>
      </c>
      <c r="AF286" s="1329">
        <f t="shared" si="71"/>
        <v>0</v>
      </c>
      <c r="AG286" s="1330">
        <f t="shared" si="72"/>
        <v>0</v>
      </c>
      <c r="AH286" s="1330">
        <f t="shared" si="73"/>
        <v>0</v>
      </c>
    </row>
    <row r="287" spans="2:34">
      <c r="B287" s="1687"/>
      <c r="C287" s="1687"/>
      <c r="D287" s="1687"/>
      <c r="E287" s="2152"/>
      <c r="F287" s="1326"/>
      <c r="G287" s="1327"/>
      <c r="H287" s="1326"/>
      <c r="I287" s="1327"/>
      <c r="J287" s="1687"/>
      <c r="K287" s="1687"/>
      <c r="L287" s="1687"/>
      <c r="M287" s="1328"/>
      <c r="N287" s="1328"/>
      <c r="O287" s="1687"/>
      <c r="P287" s="1687"/>
      <c r="Q287" s="1687"/>
      <c r="R287" s="1326"/>
      <c r="S287" s="1327"/>
      <c r="T287" s="1326"/>
      <c r="U287" s="1326"/>
      <c r="V287" s="1329">
        <f t="shared" si="63"/>
        <v>0</v>
      </c>
      <c r="W287" s="1329">
        <f t="shared" si="64"/>
        <v>0</v>
      </c>
      <c r="X287" s="1329">
        <f t="shared" si="65"/>
        <v>0</v>
      </c>
      <c r="Y287" s="1329">
        <f t="shared" si="66"/>
        <v>0</v>
      </c>
      <c r="Z287" s="1329">
        <f t="shared" si="67"/>
        <v>0</v>
      </c>
      <c r="AA287" s="1329">
        <f t="shared" si="68"/>
        <v>0</v>
      </c>
      <c r="AB287" s="1329"/>
      <c r="AC287" s="1329">
        <f t="shared" si="69"/>
        <v>0</v>
      </c>
      <c r="AD287" s="1329"/>
      <c r="AE287" s="1329">
        <f t="shared" si="70"/>
        <v>0</v>
      </c>
      <c r="AF287" s="1329">
        <f t="shared" si="71"/>
        <v>0</v>
      </c>
      <c r="AG287" s="1330">
        <f t="shared" si="72"/>
        <v>0</v>
      </c>
      <c r="AH287" s="1330">
        <f t="shared" si="73"/>
        <v>0</v>
      </c>
    </row>
    <row r="288" spans="2:34">
      <c r="B288" s="1687"/>
      <c r="C288" s="1687"/>
      <c r="D288" s="1687"/>
      <c r="E288" s="2152"/>
      <c r="F288" s="1326"/>
      <c r="G288" s="1327"/>
      <c r="H288" s="1326"/>
      <c r="I288" s="1327"/>
      <c r="J288" s="1687"/>
      <c r="K288" s="1687"/>
      <c r="L288" s="1687"/>
      <c r="M288" s="1328"/>
      <c r="N288" s="1328"/>
      <c r="O288" s="1687"/>
      <c r="P288" s="1687"/>
      <c r="Q288" s="1687"/>
      <c r="R288" s="1326"/>
      <c r="S288" s="1327"/>
      <c r="T288" s="1326"/>
      <c r="U288" s="1326"/>
      <c r="V288" s="1329">
        <f t="shared" si="63"/>
        <v>0</v>
      </c>
      <c r="W288" s="1329">
        <f t="shared" si="64"/>
        <v>0</v>
      </c>
      <c r="X288" s="1329">
        <f t="shared" si="65"/>
        <v>0</v>
      </c>
      <c r="Y288" s="1329">
        <f t="shared" si="66"/>
        <v>0</v>
      </c>
      <c r="Z288" s="1329">
        <f t="shared" si="67"/>
        <v>0</v>
      </c>
      <c r="AA288" s="1329">
        <f t="shared" si="68"/>
        <v>0</v>
      </c>
      <c r="AB288" s="1329"/>
      <c r="AC288" s="1329">
        <f t="shared" si="69"/>
        <v>0</v>
      </c>
      <c r="AD288" s="1329"/>
      <c r="AE288" s="1329">
        <f t="shared" si="70"/>
        <v>0</v>
      </c>
      <c r="AF288" s="1329">
        <f t="shared" si="71"/>
        <v>0</v>
      </c>
      <c r="AG288" s="1330">
        <f t="shared" si="72"/>
        <v>0</v>
      </c>
      <c r="AH288" s="1330">
        <f t="shared" si="73"/>
        <v>0</v>
      </c>
    </row>
    <row r="289" spans="2:34">
      <c r="B289" s="1687"/>
      <c r="C289" s="1687"/>
      <c r="D289" s="1687"/>
      <c r="E289" s="2152"/>
      <c r="F289" s="1326"/>
      <c r="G289" s="1327"/>
      <c r="H289" s="1326"/>
      <c r="I289" s="1327"/>
      <c r="J289" s="1687"/>
      <c r="K289" s="1687"/>
      <c r="L289" s="1687"/>
      <c r="M289" s="1328"/>
      <c r="N289" s="1328"/>
      <c r="O289" s="1687"/>
      <c r="P289" s="1687"/>
      <c r="Q289" s="1687"/>
      <c r="R289" s="1326"/>
      <c r="S289" s="1327"/>
      <c r="T289" s="1326"/>
      <c r="U289" s="1326"/>
      <c r="V289" s="1329">
        <f t="shared" si="63"/>
        <v>0</v>
      </c>
      <c r="W289" s="1329">
        <f t="shared" si="64"/>
        <v>0</v>
      </c>
      <c r="X289" s="1329">
        <f t="shared" si="65"/>
        <v>0</v>
      </c>
      <c r="Y289" s="1329">
        <f t="shared" si="66"/>
        <v>0</v>
      </c>
      <c r="Z289" s="1329">
        <f t="shared" si="67"/>
        <v>0</v>
      </c>
      <c r="AA289" s="1329">
        <f t="shared" si="68"/>
        <v>0</v>
      </c>
      <c r="AB289" s="1329"/>
      <c r="AC289" s="1329">
        <f t="shared" si="69"/>
        <v>0</v>
      </c>
      <c r="AD289" s="1329"/>
      <c r="AE289" s="1329">
        <f t="shared" si="70"/>
        <v>0</v>
      </c>
      <c r="AF289" s="1329">
        <f t="shared" si="71"/>
        <v>0</v>
      </c>
      <c r="AG289" s="1330">
        <f t="shared" si="72"/>
        <v>0</v>
      </c>
      <c r="AH289" s="1330">
        <f t="shared" si="73"/>
        <v>0</v>
      </c>
    </row>
    <row r="290" spans="2:34">
      <c r="B290" s="1687"/>
      <c r="C290" s="1687"/>
      <c r="D290" s="1687"/>
      <c r="E290" s="2152"/>
      <c r="F290" s="1326"/>
      <c r="G290" s="1327"/>
      <c r="H290" s="1326"/>
      <c r="I290" s="1327"/>
      <c r="J290" s="1687"/>
      <c r="K290" s="1687"/>
      <c r="L290" s="1687"/>
      <c r="M290" s="1328"/>
      <c r="N290" s="1328"/>
      <c r="O290" s="1687"/>
      <c r="P290" s="1687"/>
      <c r="Q290" s="1687"/>
      <c r="R290" s="1326"/>
      <c r="S290" s="1327"/>
      <c r="T290" s="1326"/>
      <c r="U290" s="1326"/>
      <c r="V290" s="1329">
        <f t="shared" si="63"/>
        <v>0</v>
      </c>
      <c r="W290" s="1329">
        <f t="shared" si="64"/>
        <v>0</v>
      </c>
      <c r="X290" s="1329">
        <f t="shared" si="65"/>
        <v>0</v>
      </c>
      <c r="Y290" s="1329">
        <f t="shared" si="66"/>
        <v>0</v>
      </c>
      <c r="Z290" s="1329">
        <f t="shared" si="67"/>
        <v>0</v>
      </c>
      <c r="AA290" s="1329">
        <f t="shared" si="68"/>
        <v>0</v>
      </c>
      <c r="AB290" s="1329"/>
      <c r="AC290" s="1329">
        <f t="shared" si="69"/>
        <v>0</v>
      </c>
      <c r="AD290" s="1329"/>
      <c r="AE290" s="1329">
        <f t="shared" si="70"/>
        <v>0</v>
      </c>
      <c r="AF290" s="1329">
        <f t="shared" si="71"/>
        <v>0</v>
      </c>
      <c r="AG290" s="1330">
        <f t="shared" si="72"/>
        <v>0</v>
      </c>
      <c r="AH290" s="1330">
        <f t="shared" si="73"/>
        <v>0</v>
      </c>
    </row>
    <row r="291" spans="2:34">
      <c r="B291" s="1687"/>
      <c r="C291" s="1687"/>
      <c r="D291" s="1687"/>
      <c r="E291" s="2152"/>
      <c r="F291" s="1326"/>
      <c r="G291" s="1327"/>
      <c r="H291" s="1326"/>
      <c r="I291" s="1327"/>
      <c r="J291" s="1687"/>
      <c r="K291" s="1687"/>
      <c r="L291" s="1687"/>
      <c r="M291" s="1328"/>
      <c r="N291" s="1328"/>
      <c r="O291" s="1687"/>
      <c r="P291" s="1687"/>
      <c r="Q291" s="1687"/>
      <c r="R291" s="1326"/>
      <c r="S291" s="1327"/>
      <c r="T291" s="1326"/>
      <c r="U291" s="1326"/>
      <c r="V291" s="1329">
        <f t="shared" si="63"/>
        <v>0</v>
      </c>
      <c r="W291" s="1329">
        <f t="shared" si="64"/>
        <v>0</v>
      </c>
      <c r="X291" s="1329">
        <f t="shared" si="65"/>
        <v>0</v>
      </c>
      <c r="Y291" s="1329">
        <f t="shared" si="66"/>
        <v>0</v>
      </c>
      <c r="Z291" s="1329">
        <f t="shared" si="67"/>
        <v>0</v>
      </c>
      <c r="AA291" s="1329">
        <f t="shared" si="68"/>
        <v>0</v>
      </c>
      <c r="AB291" s="1329"/>
      <c r="AC291" s="1329">
        <f t="shared" si="69"/>
        <v>0</v>
      </c>
      <c r="AD291" s="1329"/>
      <c r="AE291" s="1329">
        <f t="shared" si="70"/>
        <v>0</v>
      </c>
      <c r="AF291" s="1329">
        <f t="shared" si="71"/>
        <v>0</v>
      </c>
      <c r="AG291" s="1330">
        <f t="shared" si="72"/>
        <v>0</v>
      </c>
      <c r="AH291" s="1330">
        <f t="shared" si="73"/>
        <v>0</v>
      </c>
    </row>
    <row r="292" spans="2:34">
      <c r="B292" s="1687"/>
      <c r="C292" s="1687"/>
      <c r="D292" s="1687"/>
      <c r="E292" s="2152"/>
      <c r="F292" s="1326"/>
      <c r="G292" s="1327"/>
      <c r="H292" s="1326"/>
      <c r="I292" s="1327"/>
      <c r="J292" s="1687"/>
      <c r="K292" s="1687"/>
      <c r="L292" s="1687"/>
      <c r="M292" s="1328"/>
      <c r="N292" s="1328"/>
      <c r="O292" s="1687"/>
      <c r="P292" s="1687"/>
      <c r="Q292" s="1687"/>
      <c r="R292" s="1326"/>
      <c r="S292" s="1327"/>
      <c r="T292" s="1326"/>
      <c r="U292" s="1326"/>
      <c r="V292" s="1329">
        <f t="shared" si="63"/>
        <v>0</v>
      </c>
      <c r="W292" s="1329">
        <f t="shared" si="64"/>
        <v>0</v>
      </c>
      <c r="X292" s="1329">
        <f t="shared" si="65"/>
        <v>0</v>
      </c>
      <c r="Y292" s="1329">
        <f t="shared" si="66"/>
        <v>0</v>
      </c>
      <c r="Z292" s="1329">
        <f t="shared" si="67"/>
        <v>0</v>
      </c>
      <c r="AA292" s="1329">
        <f t="shared" si="68"/>
        <v>0</v>
      </c>
      <c r="AB292" s="1329"/>
      <c r="AC292" s="1329">
        <f t="shared" si="69"/>
        <v>0</v>
      </c>
      <c r="AD292" s="1329"/>
      <c r="AE292" s="1329">
        <f t="shared" si="70"/>
        <v>0</v>
      </c>
      <c r="AF292" s="1329">
        <f t="shared" si="71"/>
        <v>0</v>
      </c>
      <c r="AG292" s="1330">
        <f t="shared" si="72"/>
        <v>0</v>
      </c>
      <c r="AH292" s="1330">
        <f t="shared" si="73"/>
        <v>0</v>
      </c>
    </row>
    <row r="293" spans="2:34">
      <c r="B293" s="1687"/>
      <c r="C293" s="1687"/>
      <c r="D293" s="1687"/>
      <c r="E293" s="2152"/>
      <c r="F293" s="1326"/>
      <c r="G293" s="1327"/>
      <c r="H293" s="1326"/>
      <c r="I293" s="1327"/>
      <c r="J293" s="1687"/>
      <c r="K293" s="1687"/>
      <c r="L293" s="1687"/>
      <c r="M293" s="1328"/>
      <c r="N293" s="1328"/>
      <c r="O293" s="1687"/>
      <c r="P293" s="1687"/>
      <c r="Q293" s="1687"/>
      <c r="R293" s="1326"/>
      <c r="S293" s="1327"/>
      <c r="T293" s="1326"/>
      <c r="U293" s="1326"/>
      <c r="V293" s="1329">
        <f t="shared" si="63"/>
        <v>0</v>
      </c>
      <c r="W293" s="1329">
        <f t="shared" si="64"/>
        <v>0</v>
      </c>
      <c r="X293" s="1329">
        <f t="shared" si="65"/>
        <v>0</v>
      </c>
      <c r="Y293" s="1329">
        <f t="shared" si="66"/>
        <v>0</v>
      </c>
      <c r="Z293" s="1329">
        <f t="shared" si="67"/>
        <v>0</v>
      </c>
      <c r="AA293" s="1329">
        <f t="shared" si="68"/>
        <v>0</v>
      </c>
      <c r="AB293" s="1329"/>
      <c r="AC293" s="1329">
        <f t="shared" si="69"/>
        <v>0</v>
      </c>
      <c r="AD293" s="1329"/>
      <c r="AE293" s="1329">
        <f t="shared" si="70"/>
        <v>0</v>
      </c>
      <c r="AF293" s="1329">
        <f t="shared" si="71"/>
        <v>0</v>
      </c>
      <c r="AG293" s="1330">
        <f t="shared" si="72"/>
        <v>0</v>
      </c>
      <c r="AH293" s="1330">
        <f t="shared" si="73"/>
        <v>0</v>
      </c>
    </row>
    <row r="294" spans="2:34">
      <c r="B294" s="1687"/>
      <c r="C294" s="1687"/>
      <c r="D294" s="1687"/>
      <c r="E294" s="2152"/>
      <c r="F294" s="1326"/>
      <c r="G294" s="1327"/>
      <c r="H294" s="1326"/>
      <c r="I294" s="1327"/>
      <c r="J294" s="1687"/>
      <c r="K294" s="1687"/>
      <c r="L294" s="1687"/>
      <c r="M294" s="1328"/>
      <c r="N294" s="1328"/>
      <c r="O294" s="1687"/>
      <c r="P294" s="1687"/>
      <c r="Q294" s="1687"/>
      <c r="R294" s="1326"/>
      <c r="S294" s="1327"/>
      <c r="T294" s="1326"/>
      <c r="U294" s="1326"/>
      <c r="V294" s="1329">
        <f t="shared" si="63"/>
        <v>0</v>
      </c>
      <c r="W294" s="1329">
        <f t="shared" si="64"/>
        <v>0</v>
      </c>
      <c r="X294" s="1329">
        <f t="shared" si="65"/>
        <v>0</v>
      </c>
      <c r="Y294" s="1329">
        <f t="shared" si="66"/>
        <v>0</v>
      </c>
      <c r="Z294" s="1329">
        <f t="shared" si="67"/>
        <v>0</v>
      </c>
      <c r="AA294" s="1329">
        <f t="shared" si="68"/>
        <v>0</v>
      </c>
      <c r="AB294" s="1329"/>
      <c r="AC294" s="1329">
        <f t="shared" si="69"/>
        <v>0</v>
      </c>
      <c r="AD294" s="1329"/>
      <c r="AE294" s="1329">
        <f t="shared" si="70"/>
        <v>0</v>
      </c>
      <c r="AF294" s="1329">
        <f t="shared" si="71"/>
        <v>0</v>
      </c>
      <c r="AG294" s="1330">
        <f t="shared" si="72"/>
        <v>0</v>
      </c>
      <c r="AH294" s="1330">
        <f t="shared" si="73"/>
        <v>0</v>
      </c>
    </row>
    <row r="295" spans="2:34">
      <c r="B295" s="1687"/>
      <c r="C295" s="1687"/>
      <c r="D295" s="1687"/>
      <c r="E295" s="2152"/>
      <c r="F295" s="1326"/>
      <c r="G295" s="1327"/>
      <c r="H295" s="1326"/>
      <c r="I295" s="1327"/>
      <c r="J295" s="1687"/>
      <c r="K295" s="1687"/>
      <c r="L295" s="1687"/>
      <c r="M295" s="1328"/>
      <c r="N295" s="1328"/>
      <c r="O295" s="1687"/>
      <c r="P295" s="1687"/>
      <c r="Q295" s="1687"/>
      <c r="R295" s="1326"/>
      <c r="S295" s="1327"/>
      <c r="T295" s="1326"/>
      <c r="U295" s="1326"/>
      <c r="V295" s="1329">
        <f t="shared" si="63"/>
        <v>0</v>
      </c>
      <c r="W295" s="1329">
        <f t="shared" si="64"/>
        <v>0</v>
      </c>
      <c r="X295" s="1329">
        <f t="shared" si="65"/>
        <v>0</v>
      </c>
      <c r="Y295" s="1329">
        <f t="shared" si="66"/>
        <v>0</v>
      </c>
      <c r="Z295" s="1329">
        <f t="shared" si="67"/>
        <v>0</v>
      </c>
      <c r="AA295" s="1329">
        <f t="shared" si="68"/>
        <v>0</v>
      </c>
      <c r="AB295" s="1329"/>
      <c r="AC295" s="1329">
        <f t="shared" si="69"/>
        <v>0</v>
      </c>
      <c r="AD295" s="1329"/>
      <c r="AE295" s="1329">
        <f t="shared" si="70"/>
        <v>0</v>
      </c>
      <c r="AF295" s="1329">
        <f t="shared" si="71"/>
        <v>0</v>
      </c>
      <c r="AG295" s="1330">
        <f t="shared" si="72"/>
        <v>0</v>
      </c>
      <c r="AH295" s="1330">
        <f t="shared" si="73"/>
        <v>0</v>
      </c>
    </row>
    <row r="296" spans="2:34">
      <c r="B296" s="1687"/>
      <c r="C296" s="1687"/>
      <c r="D296" s="1687"/>
      <c r="E296" s="2152"/>
      <c r="F296" s="1326"/>
      <c r="G296" s="1327"/>
      <c r="H296" s="1326"/>
      <c r="I296" s="1327"/>
      <c r="J296" s="1687"/>
      <c r="K296" s="1687"/>
      <c r="L296" s="1687"/>
      <c r="M296" s="1328"/>
      <c r="N296" s="1328"/>
      <c r="O296" s="1687"/>
      <c r="P296" s="1687"/>
      <c r="Q296" s="1687"/>
      <c r="R296" s="1326"/>
      <c r="S296" s="1327"/>
      <c r="T296" s="1326"/>
      <c r="U296" s="1326"/>
      <c r="V296" s="1329">
        <f t="shared" si="63"/>
        <v>0</v>
      </c>
      <c r="W296" s="1329">
        <f t="shared" si="64"/>
        <v>0</v>
      </c>
      <c r="X296" s="1329">
        <f t="shared" si="65"/>
        <v>0</v>
      </c>
      <c r="Y296" s="1329">
        <f t="shared" si="66"/>
        <v>0</v>
      </c>
      <c r="Z296" s="1329">
        <f t="shared" si="67"/>
        <v>0</v>
      </c>
      <c r="AA296" s="1329">
        <f t="shared" si="68"/>
        <v>0</v>
      </c>
      <c r="AB296" s="1329"/>
      <c r="AC296" s="1329">
        <f t="shared" si="69"/>
        <v>0</v>
      </c>
      <c r="AD296" s="1329"/>
      <c r="AE296" s="1329">
        <f t="shared" si="70"/>
        <v>0</v>
      </c>
      <c r="AF296" s="1329">
        <f t="shared" si="71"/>
        <v>0</v>
      </c>
      <c r="AG296" s="1330">
        <f t="shared" si="72"/>
        <v>0</v>
      </c>
      <c r="AH296" s="1330">
        <f t="shared" si="73"/>
        <v>0</v>
      </c>
    </row>
    <row r="297" spans="2:34">
      <c r="B297" s="1687"/>
      <c r="C297" s="1687"/>
      <c r="D297" s="1687"/>
      <c r="E297" s="2152"/>
      <c r="F297" s="1326"/>
      <c r="G297" s="1327"/>
      <c r="H297" s="1326"/>
      <c r="I297" s="1327"/>
      <c r="J297" s="1687"/>
      <c r="K297" s="1687"/>
      <c r="L297" s="1687"/>
      <c r="M297" s="1328"/>
      <c r="N297" s="1328"/>
      <c r="O297" s="1687"/>
      <c r="P297" s="1687"/>
      <c r="Q297" s="1687"/>
      <c r="R297" s="1326"/>
      <c r="S297" s="1327"/>
      <c r="T297" s="1326"/>
      <c r="U297" s="1326"/>
      <c r="V297" s="1329">
        <f t="shared" si="63"/>
        <v>0</v>
      </c>
      <c r="W297" s="1329">
        <f t="shared" si="64"/>
        <v>0</v>
      </c>
      <c r="X297" s="1329">
        <f t="shared" si="65"/>
        <v>0</v>
      </c>
      <c r="Y297" s="1329">
        <f t="shared" si="66"/>
        <v>0</v>
      </c>
      <c r="Z297" s="1329">
        <f t="shared" si="67"/>
        <v>0</v>
      </c>
      <c r="AA297" s="1329">
        <f t="shared" si="68"/>
        <v>0</v>
      </c>
      <c r="AB297" s="1329"/>
      <c r="AC297" s="1329">
        <f t="shared" si="69"/>
        <v>0</v>
      </c>
      <c r="AD297" s="1329"/>
      <c r="AE297" s="1329">
        <f t="shared" si="70"/>
        <v>0</v>
      </c>
      <c r="AF297" s="1329">
        <f t="shared" si="71"/>
        <v>0</v>
      </c>
      <c r="AG297" s="1330">
        <f t="shared" si="72"/>
        <v>0</v>
      </c>
      <c r="AH297" s="1330">
        <f t="shared" si="73"/>
        <v>0</v>
      </c>
    </row>
    <row r="298" spans="2:34">
      <c r="B298" s="1687"/>
      <c r="C298" s="1687"/>
      <c r="D298" s="1687"/>
      <c r="E298" s="2152"/>
      <c r="F298" s="1326"/>
      <c r="G298" s="1327"/>
      <c r="H298" s="1326"/>
      <c r="I298" s="1327"/>
      <c r="J298" s="1687"/>
      <c r="K298" s="1687"/>
      <c r="L298" s="1687"/>
      <c r="M298" s="1328"/>
      <c r="N298" s="1328"/>
      <c r="O298" s="1687"/>
      <c r="P298" s="1687"/>
      <c r="Q298" s="1687"/>
      <c r="R298" s="1326"/>
      <c r="S298" s="1327"/>
      <c r="T298" s="1326"/>
      <c r="U298" s="1326"/>
      <c r="V298" s="1329">
        <f t="shared" si="63"/>
        <v>0</v>
      </c>
      <c r="W298" s="1329">
        <f t="shared" si="64"/>
        <v>0</v>
      </c>
      <c r="X298" s="1329">
        <f t="shared" si="65"/>
        <v>0</v>
      </c>
      <c r="Y298" s="1329">
        <f t="shared" si="66"/>
        <v>0</v>
      </c>
      <c r="Z298" s="1329">
        <f t="shared" si="67"/>
        <v>0</v>
      </c>
      <c r="AA298" s="1329">
        <f t="shared" si="68"/>
        <v>0</v>
      </c>
      <c r="AB298" s="1329"/>
      <c r="AC298" s="1329">
        <f t="shared" si="69"/>
        <v>0</v>
      </c>
      <c r="AD298" s="1329"/>
      <c r="AE298" s="1329">
        <f t="shared" si="70"/>
        <v>0</v>
      </c>
      <c r="AF298" s="1329">
        <f t="shared" si="71"/>
        <v>0</v>
      </c>
      <c r="AG298" s="1330">
        <f t="shared" si="72"/>
        <v>0</v>
      </c>
      <c r="AH298" s="1330">
        <f t="shared" si="73"/>
        <v>0</v>
      </c>
    </row>
    <row r="299" spans="2:34">
      <c r="B299" s="1687"/>
      <c r="C299" s="1687"/>
      <c r="D299" s="1687"/>
      <c r="E299" s="2152"/>
      <c r="F299" s="1326"/>
      <c r="G299" s="1327"/>
      <c r="H299" s="1326"/>
      <c r="I299" s="1327"/>
      <c r="J299" s="1687"/>
      <c r="K299" s="1687"/>
      <c r="L299" s="1687"/>
      <c r="M299" s="1328"/>
      <c r="N299" s="1328"/>
      <c r="O299" s="1687"/>
      <c r="P299" s="1687"/>
      <c r="Q299" s="1687"/>
      <c r="R299" s="1326"/>
      <c r="S299" s="1327"/>
      <c r="T299" s="1326"/>
      <c r="U299" s="1326"/>
      <c r="V299" s="1329">
        <f t="shared" si="63"/>
        <v>0</v>
      </c>
      <c r="W299" s="1329">
        <f t="shared" si="64"/>
        <v>0</v>
      </c>
      <c r="X299" s="1329">
        <f t="shared" si="65"/>
        <v>0</v>
      </c>
      <c r="Y299" s="1329">
        <f t="shared" si="66"/>
        <v>0</v>
      </c>
      <c r="Z299" s="1329">
        <f t="shared" si="67"/>
        <v>0</v>
      </c>
      <c r="AA299" s="1329">
        <f t="shared" si="68"/>
        <v>0</v>
      </c>
      <c r="AB299" s="1329"/>
      <c r="AC299" s="1329">
        <f t="shared" si="69"/>
        <v>0</v>
      </c>
      <c r="AD299" s="1329"/>
      <c r="AE299" s="1329">
        <f t="shared" si="70"/>
        <v>0</v>
      </c>
      <c r="AF299" s="1329">
        <f t="shared" si="71"/>
        <v>0</v>
      </c>
      <c r="AG299" s="1330">
        <f t="shared" si="72"/>
        <v>0</v>
      </c>
      <c r="AH299" s="1330">
        <f t="shared" si="73"/>
        <v>0</v>
      </c>
    </row>
    <row r="300" spans="2:34">
      <c r="B300" s="1687"/>
      <c r="C300" s="1687"/>
      <c r="D300" s="1687"/>
      <c r="E300" s="2152"/>
      <c r="F300" s="1326"/>
      <c r="G300" s="1327"/>
      <c r="H300" s="1326"/>
      <c r="I300" s="1327"/>
      <c r="J300" s="1687"/>
      <c r="K300" s="1687"/>
      <c r="L300" s="1687"/>
      <c r="M300" s="1328"/>
      <c r="N300" s="1328"/>
      <c r="O300" s="1687"/>
      <c r="P300" s="1687"/>
      <c r="Q300" s="1687"/>
      <c r="R300" s="1326"/>
      <c r="S300" s="1327"/>
      <c r="T300" s="1326"/>
      <c r="U300" s="1326"/>
      <c r="V300" s="1329">
        <f t="shared" si="63"/>
        <v>0</v>
      </c>
      <c r="W300" s="1329">
        <f t="shared" si="64"/>
        <v>0</v>
      </c>
      <c r="X300" s="1329">
        <f t="shared" si="65"/>
        <v>0</v>
      </c>
      <c r="Y300" s="1329">
        <f t="shared" si="66"/>
        <v>0</v>
      </c>
      <c r="Z300" s="1329">
        <f t="shared" si="67"/>
        <v>0</v>
      </c>
      <c r="AA300" s="1329">
        <f t="shared" si="68"/>
        <v>0</v>
      </c>
      <c r="AB300" s="1329"/>
      <c r="AC300" s="1329">
        <f t="shared" si="69"/>
        <v>0</v>
      </c>
      <c r="AD300" s="1329"/>
      <c r="AE300" s="1329">
        <f t="shared" si="70"/>
        <v>0</v>
      </c>
      <c r="AF300" s="1329">
        <f t="shared" si="71"/>
        <v>0</v>
      </c>
      <c r="AG300" s="1330">
        <f t="shared" si="72"/>
        <v>0</v>
      </c>
      <c r="AH300" s="1330">
        <f t="shared" si="73"/>
        <v>0</v>
      </c>
    </row>
    <row r="301" spans="2:34">
      <c r="B301" s="1687"/>
      <c r="C301" s="1687"/>
      <c r="D301" s="1687"/>
      <c r="E301" s="2152"/>
      <c r="F301" s="1326"/>
      <c r="G301" s="1327"/>
      <c r="H301" s="1326"/>
      <c r="I301" s="1327"/>
      <c r="J301" s="1687"/>
      <c r="K301" s="1687"/>
      <c r="L301" s="1687"/>
      <c r="M301" s="1328"/>
      <c r="N301" s="1328"/>
      <c r="O301" s="1687"/>
      <c r="P301" s="1687"/>
      <c r="Q301" s="1687"/>
      <c r="R301" s="1326"/>
      <c r="S301" s="1327"/>
      <c r="T301" s="1326"/>
      <c r="U301" s="1326"/>
      <c r="V301" s="1329">
        <f t="shared" si="63"/>
        <v>0</v>
      </c>
      <c r="W301" s="1329">
        <f t="shared" si="64"/>
        <v>0</v>
      </c>
      <c r="X301" s="1329">
        <f t="shared" si="65"/>
        <v>0</v>
      </c>
      <c r="Y301" s="1329">
        <f t="shared" si="66"/>
        <v>0</v>
      </c>
      <c r="Z301" s="1329">
        <f t="shared" si="67"/>
        <v>0</v>
      </c>
      <c r="AA301" s="1329">
        <f t="shared" si="68"/>
        <v>0</v>
      </c>
      <c r="AB301" s="1329"/>
      <c r="AC301" s="1329">
        <f t="shared" si="69"/>
        <v>0</v>
      </c>
      <c r="AD301" s="1329"/>
      <c r="AE301" s="1329">
        <f t="shared" si="70"/>
        <v>0</v>
      </c>
      <c r="AF301" s="1329">
        <f t="shared" si="71"/>
        <v>0</v>
      </c>
      <c r="AG301" s="1330">
        <f t="shared" si="72"/>
        <v>0</v>
      </c>
      <c r="AH301" s="1330">
        <f t="shared" si="73"/>
        <v>0</v>
      </c>
    </row>
    <row r="302" spans="2:34">
      <c r="B302" s="1687"/>
      <c r="C302" s="1687"/>
      <c r="D302" s="1687"/>
      <c r="E302" s="2152"/>
      <c r="F302" s="1326"/>
      <c r="G302" s="1327"/>
      <c r="H302" s="1326"/>
      <c r="I302" s="1327"/>
      <c r="J302" s="1687"/>
      <c r="K302" s="1687"/>
      <c r="L302" s="1687"/>
      <c r="M302" s="1328"/>
      <c r="N302" s="1328"/>
      <c r="O302" s="1687"/>
      <c r="P302" s="1687"/>
      <c r="Q302" s="1687"/>
      <c r="R302" s="1326"/>
      <c r="S302" s="1327"/>
      <c r="T302" s="1326"/>
      <c r="U302" s="1326"/>
      <c r="V302" s="1329">
        <f t="shared" si="63"/>
        <v>0</v>
      </c>
      <c r="W302" s="1329">
        <f t="shared" si="64"/>
        <v>0</v>
      </c>
      <c r="X302" s="1329">
        <f t="shared" si="65"/>
        <v>0</v>
      </c>
      <c r="Y302" s="1329">
        <f t="shared" si="66"/>
        <v>0</v>
      </c>
      <c r="Z302" s="1329">
        <f t="shared" si="67"/>
        <v>0</v>
      </c>
      <c r="AA302" s="1329">
        <f t="shared" si="68"/>
        <v>0</v>
      </c>
      <c r="AB302" s="1329"/>
      <c r="AC302" s="1329">
        <f t="shared" si="69"/>
        <v>0</v>
      </c>
      <c r="AD302" s="1329"/>
      <c r="AE302" s="1329">
        <f t="shared" si="70"/>
        <v>0</v>
      </c>
      <c r="AF302" s="1329">
        <f t="shared" si="71"/>
        <v>0</v>
      </c>
      <c r="AG302" s="1330">
        <f t="shared" si="72"/>
        <v>0</v>
      </c>
      <c r="AH302" s="1330">
        <f t="shared" si="73"/>
        <v>0</v>
      </c>
    </row>
    <row r="303" spans="2:34">
      <c r="B303" s="1687"/>
      <c r="C303" s="1687"/>
      <c r="D303" s="1687"/>
      <c r="E303" s="2152"/>
      <c r="F303" s="1326"/>
      <c r="G303" s="1327"/>
      <c r="H303" s="1326"/>
      <c r="I303" s="1327"/>
      <c r="J303" s="1687"/>
      <c r="K303" s="1687"/>
      <c r="L303" s="1687"/>
      <c r="M303" s="1328"/>
      <c r="N303" s="1328"/>
      <c r="O303" s="1687"/>
      <c r="P303" s="1687"/>
      <c r="Q303" s="1687"/>
      <c r="R303" s="1326"/>
      <c r="S303" s="1327"/>
      <c r="T303" s="1326"/>
      <c r="U303" s="1326"/>
      <c r="V303" s="1329">
        <f t="shared" si="63"/>
        <v>0</v>
      </c>
      <c r="W303" s="1329">
        <f t="shared" si="64"/>
        <v>0</v>
      </c>
      <c r="X303" s="1329">
        <f t="shared" si="65"/>
        <v>0</v>
      </c>
      <c r="Y303" s="1329">
        <f t="shared" si="66"/>
        <v>0</v>
      </c>
      <c r="Z303" s="1329">
        <f t="shared" si="67"/>
        <v>0</v>
      </c>
      <c r="AA303" s="1329">
        <f t="shared" si="68"/>
        <v>0</v>
      </c>
      <c r="AB303" s="1329"/>
      <c r="AC303" s="1329">
        <f t="shared" si="69"/>
        <v>0</v>
      </c>
      <c r="AD303" s="1329"/>
      <c r="AE303" s="1329">
        <f t="shared" si="70"/>
        <v>0</v>
      </c>
      <c r="AF303" s="1329">
        <f t="shared" si="71"/>
        <v>0</v>
      </c>
      <c r="AG303" s="1330">
        <f t="shared" si="72"/>
        <v>0</v>
      </c>
      <c r="AH303" s="1330">
        <f t="shared" si="73"/>
        <v>0</v>
      </c>
    </row>
    <row r="304" spans="2:34">
      <c r="B304" s="1687"/>
      <c r="C304" s="1687"/>
      <c r="D304" s="1687"/>
      <c r="E304" s="2152"/>
      <c r="F304" s="1326"/>
      <c r="G304" s="1327"/>
      <c r="H304" s="1326"/>
      <c r="I304" s="1327"/>
      <c r="J304" s="1687"/>
      <c r="K304" s="1687"/>
      <c r="L304" s="1687"/>
      <c r="M304" s="1328"/>
      <c r="N304" s="1328"/>
      <c r="O304" s="1687"/>
      <c r="P304" s="1687"/>
      <c r="Q304" s="1687"/>
      <c r="R304" s="1326"/>
      <c r="S304" s="1327"/>
      <c r="T304" s="1326"/>
      <c r="U304" s="1326"/>
      <c r="V304" s="1329">
        <f t="shared" si="63"/>
        <v>0</v>
      </c>
      <c r="W304" s="1329">
        <f t="shared" si="64"/>
        <v>0</v>
      </c>
      <c r="X304" s="1329">
        <f t="shared" si="65"/>
        <v>0</v>
      </c>
      <c r="Y304" s="1329">
        <f t="shared" si="66"/>
        <v>0</v>
      </c>
      <c r="Z304" s="1329">
        <f t="shared" si="67"/>
        <v>0</v>
      </c>
      <c r="AA304" s="1329">
        <f t="shared" si="68"/>
        <v>0</v>
      </c>
      <c r="AB304" s="1329"/>
      <c r="AC304" s="1329">
        <f t="shared" si="69"/>
        <v>0</v>
      </c>
      <c r="AD304" s="1329"/>
      <c r="AE304" s="1329">
        <f t="shared" si="70"/>
        <v>0</v>
      </c>
      <c r="AF304" s="1329">
        <f t="shared" si="71"/>
        <v>0</v>
      </c>
      <c r="AG304" s="1330">
        <f t="shared" si="72"/>
        <v>0</v>
      </c>
      <c r="AH304" s="1330">
        <f t="shared" si="73"/>
        <v>0</v>
      </c>
    </row>
    <row r="305" spans="2:34">
      <c r="B305" s="1687"/>
      <c r="C305" s="1687"/>
      <c r="D305" s="1687"/>
      <c r="E305" s="2152"/>
      <c r="F305" s="1326"/>
      <c r="G305" s="1327"/>
      <c r="H305" s="1326"/>
      <c r="I305" s="1327"/>
      <c r="J305" s="1687"/>
      <c r="K305" s="1687"/>
      <c r="L305" s="1687"/>
      <c r="M305" s="1328"/>
      <c r="N305" s="1328"/>
      <c r="O305" s="1687"/>
      <c r="P305" s="1687"/>
      <c r="Q305" s="1687"/>
      <c r="R305" s="1326"/>
      <c r="S305" s="1327"/>
      <c r="T305" s="1326"/>
      <c r="U305" s="1326"/>
      <c r="V305" s="1329">
        <f t="shared" si="63"/>
        <v>0</v>
      </c>
      <c r="W305" s="1329">
        <f t="shared" si="64"/>
        <v>0</v>
      </c>
      <c r="X305" s="1329">
        <f t="shared" si="65"/>
        <v>0</v>
      </c>
      <c r="Y305" s="1329">
        <f t="shared" si="66"/>
        <v>0</v>
      </c>
      <c r="Z305" s="1329">
        <f t="shared" si="67"/>
        <v>0</v>
      </c>
      <c r="AA305" s="1329">
        <f t="shared" si="68"/>
        <v>0</v>
      </c>
      <c r="AB305" s="1329"/>
      <c r="AC305" s="1329">
        <f t="shared" si="69"/>
        <v>0</v>
      </c>
      <c r="AD305" s="1329"/>
      <c r="AE305" s="1329">
        <f t="shared" si="70"/>
        <v>0</v>
      </c>
      <c r="AF305" s="1329">
        <f t="shared" si="71"/>
        <v>0</v>
      </c>
      <c r="AG305" s="1330">
        <f t="shared" si="72"/>
        <v>0</v>
      </c>
      <c r="AH305" s="1330">
        <f t="shared" si="73"/>
        <v>0</v>
      </c>
    </row>
    <row r="306" spans="2:34">
      <c r="B306" s="1687"/>
      <c r="C306" s="1687"/>
      <c r="D306" s="1687"/>
      <c r="E306" s="2152"/>
      <c r="F306" s="1326"/>
      <c r="G306" s="1327"/>
      <c r="H306" s="1326"/>
      <c r="I306" s="1327"/>
      <c r="J306" s="1687"/>
      <c r="K306" s="1687"/>
      <c r="L306" s="1687"/>
      <c r="M306" s="1328"/>
      <c r="N306" s="1328"/>
      <c r="O306" s="1687"/>
      <c r="P306" s="1687"/>
      <c r="Q306" s="1687"/>
      <c r="R306" s="1326"/>
      <c r="S306" s="1327"/>
      <c r="T306" s="1326"/>
      <c r="U306" s="1326"/>
      <c r="V306" s="1329">
        <f t="shared" si="63"/>
        <v>0</v>
      </c>
      <c r="W306" s="1329">
        <f t="shared" si="64"/>
        <v>0</v>
      </c>
      <c r="X306" s="1329">
        <f t="shared" si="65"/>
        <v>0</v>
      </c>
      <c r="Y306" s="1329">
        <f t="shared" si="66"/>
        <v>0</v>
      </c>
      <c r="Z306" s="1329">
        <f t="shared" si="67"/>
        <v>0</v>
      </c>
      <c r="AA306" s="1329">
        <f t="shared" si="68"/>
        <v>0</v>
      </c>
      <c r="AB306" s="1329"/>
      <c r="AC306" s="1329">
        <f t="shared" si="69"/>
        <v>0</v>
      </c>
      <c r="AD306" s="1329"/>
      <c r="AE306" s="1329">
        <f t="shared" si="70"/>
        <v>0</v>
      </c>
      <c r="AF306" s="1329">
        <f t="shared" si="71"/>
        <v>0</v>
      </c>
      <c r="AG306" s="1330">
        <f t="shared" si="72"/>
        <v>0</v>
      </c>
      <c r="AH306" s="1330">
        <f t="shared" si="73"/>
        <v>0</v>
      </c>
    </row>
    <row r="307" spans="2:34">
      <c r="B307" s="1687"/>
      <c r="C307" s="1687"/>
      <c r="D307" s="1687"/>
      <c r="E307" s="2152"/>
      <c r="F307" s="1326"/>
      <c r="G307" s="1327"/>
      <c r="H307" s="1326"/>
      <c r="I307" s="1327"/>
      <c r="J307" s="1687"/>
      <c r="K307" s="1687"/>
      <c r="L307" s="1687"/>
      <c r="M307" s="1328"/>
      <c r="N307" s="1328"/>
      <c r="O307" s="1687"/>
      <c r="P307" s="1687"/>
      <c r="Q307" s="1687"/>
      <c r="R307" s="1326"/>
      <c r="S307" s="1327"/>
      <c r="T307" s="1326"/>
      <c r="U307" s="1326"/>
      <c r="V307" s="1329">
        <f t="shared" si="63"/>
        <v>0</v>
      </c>
      <c r="W307" s="1329">
        <f t="shared" si="64"/>
        <v>0</v>
      </c>
      <c r="X307" s="1329">
        <f t="shared" si="65"/>
        <v>0</v>
      </c>
      <c r="Y307" s="1329">
        <f t="shared" si="66"/>
        <v>0</v>
      </c>
      <c r="Z307" s="1329">
        <f t="shared" si="67"/>
        <v>0</v>
      </c>
      <c r="AA307" s="1329">
        <f t="shared" si="68"/>
        <v>0</v>
      </c>
      <c r="AB307" s="1329"/>
      <c r="AC307" s="1329">
        <f t="shared" si="69"/>
        <v>0</v>
      </c>
      <c r="AD307" s="1329"/>
      <c r="AE307" s="1329">
        <f t="shared" si="70"/>
        <v>0</v>
      </c>
      <c r="AF307" s="1329">
        <f t="shared" si="71"/>
        <v>0</v>
      </c>
      <c r="AG307" s="1330">
        <f t="shared" si="72"/>
        <v>0</v>
      </c>
      <c r="AH307" s="1330">
        <f t="shared" si="73"/>
        <v>0</v>
      </c>
    </row>
    <row r="308" spans="2:34">
      <c r="B308" s="1687"/>
      <c r="C308" s="1687"/>
      <c r="D308" s="1687"/>
      <c r="E308" s="2152"/>
      <c r="F308" s="1326"/>
      <c r="G308" s="1327"/>
      <c r="H308" s="1326"/>
      <c r="I308" s="1327"/>
      <c r="J308" s="1687"/>
      <c r="K308" s="1687"/>
      <c r="L308" s="1687"/>
      <c r="M308" s="1328"/>
      <c r="N308" s="1328"/>
      <c r="O308" s="1687"/>
      <c r="P308" s="1687"/>
      <c r="Q308" s="1687"/>
      <c r="R308" s="1326"/>
      <c r="S308" s="1327"/>
      <c r="T308" s="1326"/>
      <c r="U308" s="1326"/>
      <c r="V308" s="1329">
        <f t="shared" si="63"/>
        <v>0</v>
      </c>
      <c r="W308" s="1329">
        <f t="shared" si="64"/>
        <v>0</v>
      </c>
      <c r="X308" s="1329">
        <f t="shared" si="65"/>
        <v>0</v>
      </c>
      <c r="Y308" s="1329">
        <f t="shared" si="66"/>
        <v>0</v>
      </c>
      <c r="Z308" s="1329">
        <f t="shared" si="67"/>
        <v>0</v>
      </c>
      <c r="AA308" s="1329">
        <f t="shared" si="68"/>
        <v>0</v>
      </c>
      <c r="AB308" s="1329"/>
      <c r="AC308" s="1329">
        <f t="shared" si="69"/>
        <v>0</v>
      </c>
      <c r="AD308" s="1329"/>
      <c r="AE308" s="1329">
        <f t="shared" si="70"/>
        <v>0</v>
      </c>
      <c r="AF308" s="1329">
        <f t="shared" si="71"/>
        <v>0</v>
      </c>
      <c r="AG308" s="1330">
        <f t="shared" si="72"/>
        <v>0</v>
      </c>
      <c r="AH308" s="1330">
        <f t="shared" si="73"/>
        <v>0</v>
      </c>
    </row>
    <row r="309" spans="2:34">
      <c r="B309" s="1687"/>
      <c r="C309" s="1687"/>
      <c r="D309" s="1687"/>
      <c r="E309" s="2152"/>
      <c r="F309" s="1326"/>
      <c r="G309" s="1327"/>
      <c r="H309" s="1326"/>
      <c r="I309" s="1327"/>
      <c r="J309" s="1687"/>
      <c r="K309" s="1687"/>
      <c r="L309" s="1687"/>
      <c r="M309" s="1328"/>
      <c r="N309" s="1328"/>
      <c r="O309" s="1687"/>
      <c r="P309" s="1687"/>
      <c r="Q309" s="1687"/>
      <c r="R309" s="1326"/>
      <c r="S309" s="1327"/>
      <c r="T309" s="1326"/>
      <c r="U309" s="1326"/>
      <c r="V309" s="1329">
        <f t="shared" si="63"/>
        <v>0</v>
      </c>
      <c r="W309" s="1329">
        <f t="shared" si="64"/>
        <v>0</v>
      </c>
      <c r="X309" s="1329">
        <f t="shared" si="65"/>
        <v>0</v>
      </c>
      <c r="Y309" s="1329">
        <f t="shared" si="66"/>
        <v>0</v>
      </c>
      <c r="Z309" s="1329">
        <f t="shared" si="67"/>
        <v>0</v>
      </c>
      <c r="AA309" s="1329">
        <f t="shared" si="68"/>
        <v>0</v>
      </c>
      <c r="AB309" s="1329"/>
      <c r="AC309" s="1329">
        <f t="shared" si="69"/>
        <v>0</v>
      </c>
      <c r="AD309" s="1329"/>
      <c r="AE309" s="1329">
        <f t="shared" si="70"/>
        <v>0</v>
      </c>
      <c r="AF309" s="1329">
        <f t="shared" si="71"/>
        <v>0</v>
      </c>
      <c r="AG309" s="1330">
        <f t="shared" si="72"/>
        <v>0</v>
      </c>
      <c r="AH309" s="1330">
        <f t="shared" si="73"/>
        <v>0</v>
      </c>
    </row>
    <row r="310" spans="2:34">
      <c r="B310" s="1687"/>
      <c r="C310" s="1687"/>
      <c r="D310" s="1687"/>
      <c r="E310" s="2152"/>
      <c r="F310" s="1326"/>
      <c r="G310" s="1327"/>
      <c r="H310" s="1326"/>
      <c r="I310" s="1327"/>
      <c r="J310" s="1687"/>
      <c r="K310" s="1687"/>
      <c r="L310" s="1687"/>
      <c r="M310" s="1328"/>
      <c r="N310" s="1328"/>
      <c r="O310" s="1687"/>
      <c r="P310" s="1687"/>
      <c r="Q310" s="1687"/>
      <c r="R310" s="1326"/>
      <c r="S310" s="1327"/>
      <c r="T310" s="1326"/>
      <c r="U310" s="1326"/>
      <c r="V310" s="1329">
        <f t="shared" si="63"/>
        <v>0</v>
      </c>
      <c r="W310" s="1329">
        <f t="shared" si="64"/>
        <v>0</v>
      </c>
      <c r="X310" s="1329">
        <f t="shared" si="65"/>
        <v>0</v>
      </c>
      <c r="Y310" s="1329">
        <f t="shared" si="66"/>
        <v>0</v>
      </c>
      <c r="Z310" s="1329">
        <f t="shared" si="67"/>
        <v>0</v>
      </c>
      <c r="AA310" s="1329">
        <f t="shared" si="68"/>
        <v>0</v>
      </c>
      <c r="AB310" s="1329"/>
      <c r="AC310" s="1329">
        <f t="shared" si="69"/>
        <v>0</v>
      </c>
      <c r="AD310" s="1329"/>
      <c r="AE310" s="1329">
        <f t="shared" si="70"/>
        <v>0</v>
      </c>
      <c r="AF310" s="1329">
        <f t="shared" si="71"/>
        <v>0</v>
      </c>
      <c r="AG310" s="1330">
        <f t="shared" si="72"/>
        <v>0</v>
      </c>
      <c r="AH310" s="1330">
        <f t="shared" si="73"/>
        <v>0</v>
      </c>
    </row>
    <row r="311" spans="2:34">
      <c r="B311" s="1687"/>
      <c r="C311" s="1687"/>
      <c r="D311" s="1687"/>
      <c r="E311" s="2152"/>
      <c r="F311" s="1326"/>
      <c r="G311" s="1327"/>
      <c r="H311" s="1326"/>
      <c r="I311" s="1327"/>
      <c r="J311" s="1687"/>
      <c r="K311" s="1687"/>
      <c r="L311" s="1687"/>
      <c r="M311" s="1328"/>
      <c r="N311" s="1328"/>
      <c r="O311" s="1687"/>
      <c r="P311" s="1687"/>
      <c r="Q311" s="1687"/>
      <c r="R311" s="1326"/>
      <c r="S311" s="1327"/>
      <c r="T311" s="1326"/>
      <c r="U311" s="1326"/>
      <c r="V311" s="1329">
        <f t="shared" si="63"/>
        <v>0</v>
      </c>
      <c r="W311" s="1329">
        <f t="shared" si="64"/>
        <v>0</v>
      </c>
      <c r="X311" s="1329">
        <f t="shared" si="65"/>
        <v>0</v>
      </c>
      <c r="Y311" s="1329">
        <f t="shared" si="66"/>
        <v>0</v>
      </c>
      <c r="Z311" s="1329">
        <f t="shared" si="67"/>
        <v>0</v>
      </c>
      <c r="AA311" s="1329">
        <f t="shared" si="68"/>
        <v>0</v>
      </c>
      <c r="AB311" s="1329"/>
      <c r="AC311" s="1329">
        <f t="shared" si="69"/>
        <v>0</v>
      </c>
      <c r="AD311" s="1329"/>
      <c r="AE311" s="1329">
        <f t="shared" si="70"/>
        <v>0</v>
      </c>
      <c r="AF311" s="1329">
        <f t="shared" si="71"/>
        <v>0</v>
      </c>
      <c r="AG311" s="1330">
        <f t="shared" si="72"/>
        <v>0</v>
      </c>
      <c r="AH311" s="1330">
        <f t="shared" si="73"/>
        <v>0</v>
      </c>
    </row>
    <row r="312" spans="2:34">
      <c r="B312" s="1687"/>
      <c r="C312" s="1687"/>
      <c r="D312" s="1687"/>
      <c r="E312" s="2152"/>
      <c r="F312" s="1326"/>
      <c r="G312" s="1327"/>
      <c r="H312" s="1326"/>
      <c r="I312" s="1327"/>
      <c r="J312" s="1687"/>
      <c r="K312" s="1687"/>
      <c r="L312" s="1687"/>
      <c r="M312" s="1328"/>
      <c r="N312" s="1328"/>
      <c r="O312" s="1687"/>
      <c r="P312" s="1687"/>
      <c r="Q312" s="1687"/>
      <c r="R312" s="1326"/>
      <c r="S312" s="1327"/>
      <c r="T312" s="1326"/>
      <c r="U312" s="1326"/>
      <c r="V312" s="1329">
        <f t="shared" si="63"/>
        <v>0</v>
      </c>
      <c r="W312" s="1329">
        <f t="shared" si="64"/>
        <v>0</v>
      </c>
      <c r="X312" s="1329">
        <f t="shared" si="65"/>
        <v>0</v>
      </c>
      <c r="Y312" s="1329">
        <f t="shared" si="66"/>
        <v>0</v>
      </c>
      <c r="Z312" s="1329">
        <f t="shared" si="67"/>
        <v>0</v>
      </c>
      <c r="AA312" s="1329">
        <f t="shared" si="68"/>
        <v>0</v>
      </c>
      <c r="AB312" s="1329"/>
      <c r="AC312" s="1329">
        <f t="shared" si="69"/>
        <v>0</v>
      </c>
      <c r="AD312" s="1329"/>
      <c r="AE312" s="1329">
        <f t="shared" si="70"/>
        <v>0</v>
      </c>
      <c r="AF312" s="1329">
        <f t="shared" si="71"/>
        <v>0</v>
      </c>
      <c r="AG312" s="1330">
        <f t="shared" si="72"/>
        <v>0</v>
      </c>
      <c r="AH312" s="1330">
        <f t="shared" si="73"/>
        <v>0</v>
      </c>
    </row>
    <row r="313" spans="2:34">
      <c r="B313" s="1687"/>
      <c r="C313" s="1687"/>
      <c r="D313" s="1687"/>
      <c r="E313" s="2152"/>
      <c r="F313" s="1326"/>
      <c r="G313" s="1327"/>
      <c r="H313" s="1326"/>
      <c r="I313" s="1327"/>
      <c r="J313" s="1687"/>
      <c r="K313" s="1687"/>
      <c r="L313" s="1687"/>
      <c r="M313" s="1328"/>
      <c r="N313" s="1328"/>
      <c r="O313" s="1687"/>
      <c r="P313" s="1687"/>
      <c r="Q313" s="1687"/>
      <c r="R313" s="1326"/>
      <c r="S313" s="1327"/>
      <c r="T313" s="1326"/>
      <c r="U313" s="1326"/>
      <c r="V313" s="1329">
        <f t="shared" si="63"/>
        <v>0</v>
      </c>
      <c r="W313" s="1329">
        <f t="shared" si="64"/>
        <v>0</v>
      </c>
      <c r="X313" s="1329">
        <f t="shared" si="65"/>
        <v>0</v>
      </c>
      <c r="Y313" s="1329">
        <f t="shared" si="66"/>
        <v>0</v>
      </c>
      <c r="Z313" s="1329">
        <f t="shared" si="67"/>
        <v>0</v>
      </c>
      <c r="AA313" s="1329">
        <f t="shared" si="68"/>
        <v>0</v>
      </c>
      <c r="AB313" s="1329"/>
      <c r="AC313" s="1329">
        <f t="shared" si="69"/>
        <v>0</v>
      </c>
      <c r="AD313" s="1329"/>
      <c r="AE313" s="1329">
        <f t="shared" si="70"/>
        <v>0</v>
      </c>
      <c r="AF313" s="1329">
        <f t="shared" si="71"/>
        <v>0</v>
      </c>
      <c r="AG313" s="1330">
        <f t="shared" si="72"/>
        <v>0</v>
      </c>
      <c r="AH313" s="1330">
        <f t="shared" si="73"/>
        <v>0</v>
      </c>
    </row>
    <row r="314" spans="2:34">
      <c r="B314" s="1687"/>
      <c r="C314" s="1687"/>
      <c r="D314" s="1687"/>
      <c r="E314" s="2152"/>
      <c r="F314" s="1326"/>
      <c r="G314" s="1327"/>
      <c r="H314" s="1326"/>
      <c r="I314" s="1327"/>
      <c r="J314" s="1687"/>
      <c r="K314" s="1687"/>
      <c r="L314" s="1687"/>
      <c r="M314" s="1328"/>
      <c r="N314" s="1328"/>
      <c r="O314" s="1687"/>
      <c r="P314" s="1687"/>
      <c r="Q314" s="1687"/>
      <c r="R314" s="1326"/>
      <c r="S314" s="1327"/>
      <c r="T314" s="1326"/>
      <c r="U314" s="1326"/>
      <c r="V314" s="1329">
        <f t="shared" si="63"/>
        <v>0</v>
      </c>
      <c r="W314" s="1329">
        <f t="shared" si="64"/>
        <v>0</v>
      </c>
      <c r="X314" s="1329">
        <f t="shared" si="65"/>
        <v>0</v>
      </c>
      <c r="Y314" s="1329">
        <f t="shared" si="66"/>
        <v>0</v>
      </c>
      <c r="Z314" s="1329">
        <f t="shared" si="67"/>
        <v>0</v>
      </c>
      <c r="AA314" s="1329">
        <f t="shared" si="68"/>
        <v>0</v>
      </c>
      <c r="AB314" s="1329"/>
      <c r="AC314" s="1329">
        <f t="shared" si="69"/>
        <v>0</v>
      </c>
      <c r="AD314" s="1329"/>
      <c r="AE314" s="1329">
        <f t="shared" si="70"/>
        <v>0</v>
      </c>
      <c r="AF314" s="1329">
        <f t="shared" si="71"/>
        <v>0</v>
      </c>
      <c r="AG314" s="1330">
        <f t="shared" si="72"/>
        <v>0</v>
      </c>
      <c r="AH314" s="1330">
        <f t="shared" si="73"/>
        <v>0</v>
      </c>
    </row>
    <row r="315" spans="2:34">
      <c r="B315" s="1687"/>
      <c r="C315" s="1687"/>
      <c r="D315" s="1687"/>
      <c r="E315" s="2152"/>
      <c r="F315" s="1326"/>
      <c r="G315" s="1327"/>
      <c r="H315" s="1326"/>
      <c r="I315" s="1327"/>
      <c r="J315" s="1687"/>
      <c r="K315" s="1687"/>
      <c r="L315" s="1687"/>
      <c r="M315" s="1328"/>
      <c r="N315" s="1328"/>
      <c r="O315" s="1687"/>
      <c r="P315" s="1687"/>
      <c r="Q315" s="1687"/>
      <c r="R315" s="1326"/>
      <c r="S315" s="1327"/>
      <c r="T315" s="1326"/>
      <c r="U315" s="1326"/>
      <c r="V315" s="1329">
        <f t="shared" si="63"/>
        <v>0</v>
      </c>
      <c r="W315" s="1329">
        <f t="shared" si="64"/>
        <v>0</v>
      </c>
      <c r="X315" s="1329">
        <f t="shared" si="65"/>
        <v>0</v>
      </c>
      <c r="Y315" s="1329">
        <f t="shared" si="66"/>
        <v>0</v>
      </c>
      <c r="Z315" s="1329">
        <f t="shared" si="67"/>
        <v>0</v>
      </c>
      <c r="AA315" s="1329">
        <f t="shared" si="68"/>
        <v>0</v>
      </c>
      <c r="AB315" s="1329"/>
      <c r="AC315" s="1329">
        <f t="shared" si="69"/>
        <v>0</v>
      </c>
      <c r="AD315" s="1329"/>
      <c r="AE315" s="1329">
        <f t="shared" si="70"/>
        <v>0</v>
      </c>
      <c r="AF315" s="1329">
        <f t="shared" si="71"/>
        <v>0</v>
      </c>
      <c r="AG315" s="1330">
        <f t="shared" si="72"/>
        <v>0</v>
      </c>
      <c r="AH315" s="1330">
        <f t="shared" si="73"/>
        <v>0</v>
      </c>
    </row>
    <row r="316" spans="2:34">
      <c r="B316" s="1687"/>
      <c r="C316" s="1687"/>
      <c r="D316" s="1687"/>
      <c r="E316" s="2152"/>
      <c r="F316" s="1326"/>
      <c r="G316" s="1327"/>
      <c r="H316" s="1326"/>
      <c r="I316" s="1327"/>
      <c r="J316" s="1687"/>
      <c r="K316" s="1687"/>
      <c r="L316" s="1687"/>
      <c r="M316" s="1328"/>
      <c r="N316" s="1328"/>
      <c r="O316" s="1687"/>
      <c r="P316" s="1687"/>
      <c r="Q316" s="1687"/>
      <c r="R316" s="1326"/>
      <c r="S316" s="1327"/>
      <c r="T316" s="1326"/>
      <c r="U316" s="1326"/>
      <c r="V316" s="1329">
        <f t="shared" si="63"/>
        <v>0</v>
      </c>
      <c r="W316" s="1329">
        <f t="shared" si="64"/>
        <v>0</v>
      </c>
      <c r="X316" s="1329">
        <f t="shared" si="65"/>
        <v>0</v>
      </c>
      <c r="Y316" s="1329">
        <f t="shared" si="66"/>
        <v>0</v>
      </c>
      <c r="Z316" s="1329">
        <f t="shared" si="67"/>
        <v>0</v>
      </c>
      <c r="AA316" s="1329">
        <f t="shared" si="68"/>
        <v>0</v>
      </c>
      <c r="AB316" s="1329"/>
      <c r="AC316" s="1329">
        <f t="shared" si="69"/>
        <v>0</v>
      </c>
      <c r="AD316" s="1329"/>
      <c r="AE316" s="1329">
        <f t="shared" si="70"/>
        <v>0</v>
      </c>
      <c r="AF316" s="1329">
        <f t="shared" si="71"/>
        <v>0</v>
      </c>
      <c r="AG316" s="1330">
        <f t="shared" si="72"/>
        <v>0</v>
      </c>
      <c r="AH316" s="1330">
        <f t="shared" si="73"/>
        <v>0</v>
      </c>
    </row>
    <row r="317" spans="2:34">
      <c r="B317" s="1687"/>
      <c r="C317" s="1687"/>
      <c r="D317" s="1687"/>
      <c r="E317" s="2152"/>
      <c r="F317" s="1326"/>
      <c r="G317" s="1327"/>
      <c r="H317" s="1326"/>
      <c r="I317" s="1327"/>
      <c r="J317" s="1687"/>
      <c r="K317" s="1687"/>
      <c r="L317" s="1687"/>
      <c r="M317" s="1328"/>
      <c r="N317" s="1328"/>
      <c r="O317" s="1687"/>
      <c r="P317" s="1687"/>
      <c r="Q317" s="1687"/>
      <c r="R317" s="1326"/>
      <c r="S317" s="1327"/>
      <c r="T317" s="1326"/>
      <c r="U317" s="1326"/>
      <c r="V317" s="1329">
        <f t="shared" si="63"/>
        <v>0</v>
      </c>
      <c r="W317" s="1329">
        <f t="shared" si="64"/>
        <v>0</v>
      </c>
      <c r="X317" s="1329">
        <f t="shared" si="65"/>
        <v>0</v>
      </c>
      <c r="Y317" s="1329">
        <f t="shared" si="66"/>
        <v>0</v>
      </c>
      <c r="Z317" s="1329">
        <f t="shared" si="67"/>
        <v>0</v>
      </c>
      <c r="AA317" s="1329">
        <f t="shared" si="68"/>
        <v>0</v>
      </c>
      <c r="AB317" s="1329"/>
      <c r="AC317" s="1329">
        <f t="shared" si="69"/>
        <v>0</v>
      </c>
      <c r="AD317" s="1329"/>
      <c r="AE317" s="1329">
        <f t="shared" si="70"/>
        <v>0</v>
      </c>
      <c r="AF317" s="1329">
        <f t="shared" si="71"/>
        <v>0</v>
      </c>
      <c r="AG317" s="1330">
        <f t="shared" si="72"/>
        <v>0</v>
      </c>
      <c r="AH317" s="1330">
        <f t="shared" si="73"/>
        <v>0</v>
      </c>
    </row>
    <row r="318" spans="2:34">
      <c r="B318" s="1687"/>
      <c r="C318" s="1687"/>
      <c r="D318" s="1687"/>
      <c r="E318" s="2152"/>
      <c r="F318" s="1326"/>
      <c r="G318" s="1327"/>
      <c r="H318" s="1326"/>
      <c r="I318" s="1327"/>
      <c r="J318" s="1687"/>
      <c r="K318" s="1687"/>
      <c r="L318" s="1687"/>
      <c r="M318" s="1328"/>
      <c r="N318" s="1328"/>
      <c r="O318" s="1687"/>
      <c r="P318" s="1687"/>
      <c r="Q318" s="1687"/>
      <c r="R318" s="1326"/>
      <c r="S318" s="1327"/>
      <c r="T318" s="1326"/>
      <c r="U318" s="1326"/>
      <c r="V318" s="1329">
        <f t="shared" si="63"/>
        <v>0</v>
      </c>
      <c r="W318" s="1329">
        <f t="shared" si="64"/>
        <v>0</v>
      </c>
      <c r="X318" s="1329">
        <f t="shared" si="65"/>
        <v>0</v>
      </c>
      <c r="Y318" s="1329">
        <f t="shared" si="66"/>
        <v>0</v>
      </c>
      <c r="Z318" s="1329">
        <f t="shared" si="67"/>
        <v>0</v>
      </c>
      <c r="AA318" s="1329">
        <f t="shared" si="68"/>
        <v>0</v>
      </c>
      <c r="AB318" s="1329"/>
      <c r="AC318" s="1329">
        <f t="shared" si="69"/>
        <v>0</v>
      </c>
      <c r="AD318" s="1329"/>
      <c r="AE318" s="1329">
        <f t="shared" si="70"/>
        <v>0</v>
      </c>
      <c r="AF318" s="1329">
        <f t="shared" si="71"/>
        <v>0</v>
      </c>
      <c r="AG318" s="1330">
        <f t="shared" si="72"/>
        <v>0</v>
      </c>
      <c r="AH318" s="1330">
        <f t="shared" si="73"/>
        <v>0</v>
      </c>
    </row>
    <row r="319" spans="2:34">
      <c r="B319" s="1687"/>
      <c r="C319" s="1687"/>
      <c r="D319" s="1687"/>
      <c r="E319" s="2152"/>
      <c r="F319" s="1326"/>
      <c r="G319" s="1327"/>
      <c r="H319" s="1326"/>
      <c r="I319" s="1327"/>
      <c r="J319" s="1687"/>
      <c r="K319" s="1687"/>
      <c r="L319" s="1687"/>
      <c r="M319" s="1328"/>
      <c r="N319" s="1328"/>
      <c r="O319" s="1687"/>
      <c r="P319" s="1687"/>
      <c r="Q319" s="1687"/>
      <c r="R319" s="1326"/>
      <c r="S319" s="1327"/>
      <c r="T319" s="1326"/>
      <c r="U319" s="1326"/>
      <c r="V319" s="1329">
        <f t="shared" si="63"/>
        <v>0</v>
      </c>
      <c r="W319" s="1329">
        <f t="shared" si="64"/>
        <v>0</v>
      </c>
      <c r="X319" s="1329">
        <f t="shared" si="65"/>
        <v>0</v>
      </c>
      <c r="Y319" s="1329">
        <f t="shared" si="66"/>
        <v>0</v>
      </c>
      <c r="Z319" s="1329">
        <f t="shared" si="67"/>
        <v>0</v>
      </c>
      <c r="AA319" s="1329">
        <f t="shared" si="68"/>
        <v>0</v>
      </c>
      <c r="AB319" s="1329"/>
      <c r="AC319" s="1329">
        <f t="shared" si="69"/>
        <v>0</v>
      </c>
      <c r="AD319" s="1329"/>
      <c r="AE319" s="1329">
        <f t="shared" si="70"/>
        <v>0</v>
      </c>
      <c r="AF319" s="1329">
        <f t="shared" si="71"/>
        <v>0</v>
      </c>
      <c r="AG319" s="1330">
        <f t="shared" si="72"/>
        <v>0</v>
      </c>
      <c r="AH319" s="1330">
        <f t="shared" si="73"/>
        <v>0</v>
      </c>
    </row>
    <row r="320" spans="2:34">
      <c r="B320" s="1687"/>
      <c r="C320" s="1687"/>
      <c r="D320" s="1687"/>
      <c r="E320" s="2152"/>
      <c r="F320" s="1326"/>
      <c r="G320" s="1327"/>
      <c r="H320" s="1326"/>
      <c r="I320" s="1327"/>
      <c r="J320" s="1687"/>
      <c r="K320" s="1687"/>
      <c r="L320" s="1687"/>
      <c r="M320" s="1328"/>
      <c r="N320" s="1328"/>
      <c r="O320" s="1687"/>
      <c r="P320" s="1687"/>
      <c r="Q320" s="1687"/>
      <c r="R320" s="1326"/>
      <c r="S320" s="1327"/>
      <c r="T320" s="1326"/>
      <c r="U320" s="1326"/>
      <c r="V320" s="1329">
        <f t="shared" si="63"/>
        <v>0</v>
      </c>
      <c r="W320" s="1329">
        <f t="shared" si="64"/>
        <v>0</v>
      </c>
      <c r="X320" s="1329">
        <f t="shared" si="65"/>
        <v>0</v>
      </c>
      <c r="Y320" s="1329">
        <f t="shared" si="66"/>
        <v>0</v>
      </c>
      <c r="Z320" s="1329">
        <f t="shared" si="67"/>
        <v>0</v>
      </c>
      <c r="AA320" s="1329">
        <f t="shared" si="68"/>
        <v>0</v>
      </c>
      <c r="AB320" s="1329"/>
      <c r="AC320" s="1329">
        <f t="shared" si="69"/>
        <v>0</v>
      </c>
      <c r="AD320" s="1329"/>
      <c r="AE320" s="1329">
        <f t="shared" si="70"/>
        <v>0</v>
      </c>
      <c r="AF320" s="1329">
        <f t="shared" si="71"/>
        <v>0</v>
      </c>
      <c r="AG320" s="1330">
        <f t="shared" si="72"/>
        <v>0</v>
      </c>
      <c r="AH320" s="1330">
        <f t="shared" si="73"/>
        <v>0</v>
      </c>
    </row>
    <row r="321" spans="2:34">
      <c r="B321" s="1687"/>
      <c r="C321" s="1687"/>
      <c r="D321" s="1687"/>
      <c r="E321" s="2152"/>
      <c r="F321" s="1326"/>
      <c r="G321" s="1327"/>
      <c r="H321" s="1326"/>
      <c r="I321" s="1327"/>
      <c r="J321" s="1687"/>
      <c r="K321" s="1687"/>
      <c r="L321" s="1687"/>
      <c r="M321" s="1328"/>
      <c r="N321" s="1328"/>
      <c r="O321" s="1687"/>
      <c r="P321" s="1687"/>
      <c r="Q321" s="1687"/>
      <c r="R321" s="1326"/>
      <c r="S321" s="1327"/>
      <c r="T321" s="1326"/>
      <c r="U321" s="1326"/>
      <c r="V321" s="1329">
        <f t="shared" si="63"/>
        <v>0</v>
      </c>
      <c r="W321" s="1329">
        <f t="shared" si="64"/>
        <v>0</v>
      </c>
      <c r="X321" s="1329">
        <f t="shared" si="65"/>
        <v>0</v>
      </c>
      <c r="Y321" s="1329">
        <f t="shared" si="66"/>
        <v>0</v>
      </c>
      <c r="Z321" s="1329">
        <f t="shared" si="67"/>
        <v>0</v>
      </c>
      <c r="AA321" s="1329">
        <f t="shared" si="68"/>
        <v>0</v>
      </c>
      <c r="AB321" s="1329"/>
      <c r="AC321" s="1329">
        <f t="shared" si="69"/>
        <v>0</v>
      </c>
      <c r="AD321" s="1329"/>
      <c r="AE321" s="1329">
        <f t="shared" si="70"/>
        <v>0</v>
      </c>
      <c r="AF321" s="1329">
        <f t="shared" si="71"/>
        <v>0</v>
      </c>
      <c r="AG321" s="1330">
        <f t="shared" si="72"/>
        <v>0</v>
      </c>
      <c r="AH321" s="1330">
        <f t="shared" si="73"/>
        <v>0</v>
      </c>
    </row>
    <row r="322" spans="2:34">
      <c r="B322" s="1687"/>
      <c r="C322" s="1687"/>
      <c r="D322" s="1687"/>
      <c r="E322" s="2152"/>
      <c r="F322" s="1326"/>
      <c r="G322" s="1327"/>
      <c r="H322" s="1326"/>
      <c r="I322" s="1327"/>
      <c r="J322" s="1687"/>
      <c r="K322" s="1687"/>
      <c r="L322" s="1687"/>
      <c r="M322" s="1328"/>
      <c r="N322" s="1328"/>
      <c r="O322" s="1687"/>
      <c r="P322" s="1687"/>
      <c r="Q322" s="1687"/>
      <c r="R322" s="1326"/>
      <c r="S322" s="1327"/>
      <c r="T322" s="1326"/>
      <c r="U322" s="1326"/>
      <c r="V322" s="1329">
        <f t="shared" si="63"/>
        <v>0</v>
      </c>
      <c r="W322" s="1329">
        <f t="shared" si="64"/>
        <v>0</v>
      </c>
      <c r="X322" s="1329">
        <f t="shared" si="65"/>
        <v>0</v>
      </c>
      <c r="Y322" s="1329">
        <f t="shared" si="66"/>
        <v>0</v>
      </c>
      <c r="Z322" s="1329">
        <f t="shared" si="67"/>
        <v>0</v>
      </c>
      <c r="AA322" s="1329">
        <f t="shared" si="68"/>
        <v>0</v>
      </c>
      <c r="AB322" s="1329"/>
      <c r="AC322" s="1329">
        <f t="shared" si="69"/>
        <v>0</v>
      </c>
      <c r="AD322" s="1329"/>
      <c r="AE322" s="1329">
        <f t="shared" si="70"/>
        <v>0</v>
      </c>
      <c r="AF322" s="1329">
        <f t="shared" si="71"/>
        <v>0</v>
      </c>
      <c r="AG322" s="1330">
        <f t="shared" si="72"/>
        <v>0</v>
      </c>
      <c r="AH322" s="1330">
        <f t="shared" si="73"/>
        <v>0</v>
      </c>
    </row>
    <row r="323" spans="2:34">
      <c r="B323" s="1687"/>
      <c r="C323" s="1687"/>
      <c r="D323" s="1687"/>
      <c r="E323" s="2152"/>
      <c r="F323" s="1326"/>
      <c r="G323" s="1327"/>
      <c r="H323" s="1326"/>
      <c r="I323" s="1327"/>
      <c r="J323" s="1687"/>
      <c r="K323" s="1687"/>
      <c r="L323" s="1687"/>
      <c r="M323" s="1328"/>
      <c r="N323" s="1328"/>
      <c r="O323" s="1687"/>
      <c r="P323" s="1687"/>
      <c r="Q323" s="1687"/>
      <c r="R323" s="1326"/>
      <c r="S323" s="1327"/>
      <c r="T323" s="1326"/>
      <c r="U323" s="1326"/>
      <c r="V323" s="1329">
        <f t="shared" si="63"/>
        <v>0</v>
      </c>
      <c r="W323" s="1329">
        <f t="shared" si="64"/>
        <v>0</v>
      </c>
      <c r="X323" s="1329">
        <f t="shared" si="65"/>
        <v>0</v>
      </c>
      <c r="Y323" s="1329">
        <f t="shared" si="66"/>
        <v>0</v>
      </c>
      <c r="Z323" s="1329">
        <f t="shared" si="67"/>
        <v>0</v>
      </c>
      <c r="AA323" s="1329">
        <f t="shared" si="68"/>
        <v>0</v>
      </c>
      <c r="AB323" s="1329"/>
      <c r="AC323" s="1329">
        <f t="shared" si="69"/>
        <v>0</v>
      </c>
      <c r="AD323" s="1329"/>
      <c r="AE323" s="1329">
        <f t="shared" si="70"/>
        <v>0</v>
      </c>
      <c r="AF323" s="1329">
        <f t="shared" si="71"/>
        <v>0</v>
      </c>
      <c r="AG323" s="1330">
        <f t="shared" si="72"/>
        <v>0</v>
      </c>
      <c r="AH323" s="1330">
        <f t="shared" si="73"/>
        <v>0</v>
      </c>
    </row>
    <row r="324" spans="2:34">
      <c r="B324" s="1687"/>
      <c r="C324" s="1687"/>
      <c r="D324" s="1687"/>
      <c r="E324" s="2152"/>
      <c r="F324" s="1326"/>
      <c r="G324" s="1327"/>
      <c r="H324" s="1326"/>
      <c r="I324" s="1327"/>
      <c r="J324" s="1687"/>
      <c r="K324" s="1687"/>
      <c r="L324" s="1687"/>
      <c r="M324" s="1328"/>
      <c r="N324" s="1328"/>
      <c r="O324" s="1687"/>
      <c r="P324" s="1687"/>
      <c r="Q324" s="1687"/>
      <c r="R324" s="1326"/>
      <c r="S324" s="1327"/>
      <c r="T324" s="1326"/>
      <c r="U324" s="1326"/>
      <c r="V324" s="1329">
        <f t="shared" si="63"/>
        <v>0</v>
      </c>
      <c r="W324" s="1329">
        <f t="shared" si="64"/>
        <v>0</v>
      </c>
      <c r="X324" s="1329">
        <f t="shared" si="65"/>
        <v>0</v>
      </c>
      <c r="Y324" s="1329">
        <f t="shared" si="66"/>
        <v>0</v>
      </c>
      <c r="Z324" s="1329">
        <f t="shared" si="67"/>
        <v>0</v>
      </c>
      <c r="AA324" s="1329">
        <f t="shared" si="68"/>
        <v>0</v>
      </c>
      <c r="AB324" s="1329"/>
      <c r="AC324" s="1329">
        <f t="shared" si="69"/>
        <v>0</v>
      </c>
      <c r="AD324" s="1329"/>
      <c r="AE324" s="1329">
        <f t="shared" si="70"/>
        <v>0</v>
      </c>
      <c r="AF324" s="1329">
        <f t="shared" si="71"/>
        <v>0</v>
      </c>
      <c r="AG324" s="1330">
        <f t="shared" si="72"/>
        <v>0</v>
      </c>
      <c r="AH324" s="1330">
        <f t="shared" si="73"/>
        <v>0</v>
      </c>
    </row>
    <row r="325" spans="2:34">
      <c r="B325" s="1687"/>
      <c r="C325" s="1687"/>
      <c r="D325" s="1687"/>
      <c r="E325" s="2152"/>
      <c r="F325" s="1326"/>
      <c r="G325" s="1327"/>
      <c r="H325" s="1326"/>
      <c r="I325" s="1327"/>
      <c r="J325" s="1687"/>
      <c r="K325" s="1687"/>
      <c r="L325" s="1687"/>
      <c r="M325" s="1328"/>
      <c r="N325" s="1328"/>
      <c r="O325" s="1687"/>
      <c r="P325" s="1687"/>
      <c r="Q325" s="1687"/>
      <c r="R325" s="1326"/>
      <c r="S325" s="1327"/>
      <c r="T325" s="1326"/>
      <c r="U325" s="1326"/>
      <c r="V325" s="1329">
        <f t="shared" si="63"/>
        <v>0</v>
      </c>
      <c r="W325" s="1329">
        <f t="shared" si="64"/>
        <v>0</v>
      </c>
      <c r="X325" s="1329">
        <f t="shared" si="65"/>
        <v>0</v>
      </c>
      <c r="Y325" s="1329">
        <f t="shared" si="66"/>
        <v>0</v>
      </c>
      <c r="Z325" s="1329">
        <f t="shared" si="67"/>
        <v>0</v>
      </c>
      <c r="AA325" s="1329">
        <f t="shared" si="68"/>
        <v>0</v>
      </c>
      <c r="AB325" s="1329"/>
      <c r="AC325" s="1329">
        <f t="shared" si="69"/>
        <v>0</v>
      </c>
      <c r="AD325" s="1329"/>
      <c r="AE325" s="1329">
        <f t="shared" si="70"/>
        <v>0</v>
      </c>
      <c r="AF325" s="1329">
        <f t="shared" si="71"/>
        <v>0</v>
      </c>
      <c r="AG325" s="1330">
        <f t="shared" si="72"/>
        <v>0</v>
      </c>
      <c r="AH325" s="1330">
        <f t="shared" si="73"/>
        <v>0</v>
      </c>
    </row>
    <row r="326" spans="2:34">
      <c r="B326" s="1687"/>
      <c r="C326" s="1687"/>
      <c r="D326" s="1687"/>
      <c r="E326" s="2152"/>
      <c r="F326" s="1326"/>
      <c r="G326" s="1327"/>
      <c r="H326" s="1326"/>
      <c r="I326" s="1327"/>
      <c r="J326" s="1687"/>
      <c r="K326" s="1687"/>
      <c r="L326" s="1687"/>
      <c r="M326" s="1328"/>
      <c r="N326" s="1328"/>
      <c r="O326" s="1687"/>
      <c r="P326" s="1687"/>
      <c r="Q326" s="1687"/>
      <c r="R326" s="1326"/>
      <c r="S326" s="1327"/>
      <c r="T326" s="1326"/>
      <c r="U326" s="1326"/>
      <c r="V326" s="1329">
        <f t="shared" si="63"/>
        <v>0</v>
      </c>
      <c r="W326" s="1329">
        <f t="shared" si="64"/>
        <v>0</v>
      </c>
      <c r="X326" s="1329">
        <f t="shared" si="65"/>
        <v>0</v>
      </c>
      <c r="Y326" s="1329">
        <f t="shared" si="66"/>
        <v>0</v>
      </c>
      <c r="Z326" s="1329">
        <f t="shared" si="67"/>
        <v>0</v>
      </c>
      <c r="AA326" s="1329">
        <f t="shared" si="68"/>
        <v>0</v>
      </c>
      <c r="AB326" s="1329"/>
      <c r="AC326" s="1329">
        <f t="shared" si="69"/>
        <v>0</v>
      </c>
      <c r="AD326" s="1329"/>
      <c r="AE326" s="1329">
        <f t="shared" si="70"/>
        <v>0</v>
      </c>
      <c r="AF326" s="1329">
        <f t="shared" si="71"/>
        <v>0</v>
      </c>
      <c r="AG326" s="1330">
        <f t="shared" si="72"/>
        <v>0</v>
      </c>
      <c r="AH326" s="1330">
        <f t="shared" si="73"/>
        <v>0</v>
      </c>
    </row>
    <row r="327" spans="2:34">
      <c r="B327" s="1687"/>
      <c r="C327" s="1687"/>
      <c r="D327" s="1687"/>
      <c r="E327" s="2152"/>
      <c r="F327" s="1326"/>
      <c r="G327" s="1327"/>
      <c r="H327" s="1326"/>
      <c r="I327" s="1327"/>
      <c r="J327" s="1687"/>
      <c r="K327" s="1687"/>
      <c r="L327" s="1687"/>
      <c r="M327" s="1328"/>
      <c r="N327" s="1328"/>
      <c r="O327" s="1687"/>
      <c r="P327" s="1687"/>
      <c r="Q327" s="1687"/>
      <c r="R327" s="1326"/>
      <c r="S327" s="1327"/>
      <c r="T327" s="1326"/>
      <c r="U327" s="1326"/>
      <c r="V327" s="1329">
        <f t="shared" si="63"/>
        <v>0</v>
      </c>
      <c r="W327" s="1329">
        <f t="shared" si="64"/>
        <v>0</v>
      </c>
      <c r="X327" s="1329">
        <f t="shared" si="65"/>
        <v>0</v>
      </c>
      <c r="Y327" s="1329">
        <f t="shared" si="66"/>
        <v>0</v>
      </c>
      <c r="Z327" s="1329">
        <f t="shared" si="67"/>
        <v>0</v>
      </c>
      <c r="AA327" s="1329">
        <f t="shared" si="68"/>
        <v>0</v>
      </c>
      <c r="AB327" s="1329"/>
      <c r="AC327" s="1329">
        <f t="shared" si="69"/>
        <v>0</v>
      </c>
      <c r="AD327" s="1329"/>
      <c r="AE327" s="1329">
        <f t="shared" si="70"/>
        <v>0</v>
      </c>
      <c r="AF327" s="1329">
        <f t="shared" si="71"/>
        <v>0</v>
      </c>
      <c r="AG327" s="1330">
        <f t="shared" si="72"/>
        <v>0</v>
      </c>
      <c r="AH327" s="1330">
        <f t="shared" si="73"/>
        <v>0</v>
      </c>
    </row>
    <row r="328" spans="2:34">
      <c r="B328" s="1687"/>
      <c r="C328" s="1687"/>
      <c r="D328" s="1687"/>
      <c r="E328" s="2152"/>
      <c r="F328" s="1326"/>
      <c r="G328" s="1327"/>
      <c r="H328" s="1326"/>
      <c r="I328" s="1327"/>
      <c r="J328" s="1687"/>
      <c r="K328" s="1687"/>
      <c r="L328" s="1687"/>
      <c r="M328" s="1328"/>
      <c r="N328" s="1328"/>
      <c r="O328" s="1687"/>
      <c r="P328" s="1687"/>
      <c r="Q328" s="1687"/>
      <c r="R328" s="1326"/>
      <c r="S328" s="1327"/>
      <c r="T328" s="1326"/>
      <c r="U328" s="1326"/>
      <c r="V328" s="1329">
        <f t="shared" si="63"/>
        <v>0</v>
      </c>
      <c r="W328" s="1329">
        <f t="shared" si="64"/>
        <v>0</v>
      </c>
      <c r="X328" s="1329">
        <f t="shared" si="65"/>
        <v>0</v>
      </c>
      <c r="Y328" s="1329">
        <f t="shared" si="66"/>
        <v>0</v>
      </c>
      <c r="Z328" s="1329">
        <f t="shared" si="67"/>
        <v>0</v>
      </c>
      <c r="AA328" s="1329">
        <f t="shared" si="68"/>
        <v>0</v>
      </c>
      <c r="AB328" s="1329"/>
      <c r="AC328" s="1329">
        <f t="shared" si="69"/>
        <v>0</v>
      </c>
      <c r="AD328" s="1329"/>
      <c r="AE328" s="1329">
        <f t="shared" si="70"/>
        <v>0</v>
      </c>
      <c r="AF328" s="1329">
        <f t="shared" si="71"/>
        <v>0</v>
      </c>
      <c r="AG328" s="1330">
        <f t="shared" si="72"/>
        <v>0</v>
      </c>
      <c r="AH328" s="1330">
        <f t="shared" si="73"/>
        <v>0</v>
      </c>
    </row>
    <row r="329" spans="2:34">
      <c r="B329" s="1687"/>
      <c r="C329" s="1687"/>
      <c r="D329" s="1687"/>
      <c r="E329" s="2152"/>
      <c r="F329" s="1326"/>
      <c r="G329" s="1327"/>
      <c r="H329" s="1326"/>
      <c r="I329" s="1327"/>
      <c r="J329" s="1687"/>
      <c r="K329" s="1687"/>
      <c r="L329" s="1687"/>
      <c r="M329" s="1328"/>
      <c r="N329" s="1328"/>
      <c r="O329" s="1687"/>
      <c r="P329" s="1687"/>
      <c r="Q329" s="1687"/>
      <c r="R329" s="1326"/>
      <c r="S329" s="1327"/>
      <c r="T329" s="1326"/>
      <c r="U329" s="1326"/>
      <c r="V329" s="1329">
        <f t="shared" si="63"/>
        <v>0</v>
      </c>
      <c r="W329" s="1329">
        <f t="shared" si="64"/>
        <v>0</v>
      </c>
      <c r="X329" s="1329">
        <f t="shared" si="65"/>
        <v>0</v>
      </c>
      <c r="Y329" s="1329">
        <f t="shared" si="66"/>
        <v>0</v>
      </c>
      <c r="Z329" s="1329">
        <f t="shared" si="67"/>
        <v>0</v>
      </c>
      <c r="AA329" s="1329">
        <f t="shared" si="68"/>
        <v>0</v>
      </c>
      <c r="AB329" s="1329"/>
      <c r="AC329" s="1329">
        <f t="shared" si="69"/>
        <v>0</v>
      </c>
      <c r="AD329" s="1329"/>
      <c r="AE329" s="1329">
        <f t="shared" si="70"/>
        <v>0</v>
      </c>
      <c r="AF329" s="1329">
        <f t="shared" si="71"/>
        <v>0</v>
      </c>
      <c r="AG329" s="1330">
        <f t="shared" si="72"/>
        <v>0</v>
      </c>
      <c r="AH329" s="1330">
        <f t="shared" si="73"/>
        <v>0</v>
      </c>
    </row>
    <row r="330" spans="2:34">
      <c r="B330" s="1687"/>
      <c r="C330" s="1687"/>
      <c r="D330" s="1687"/>
      <c r="E330" s="2152"/>
      <c r="F330" s="1326"/>
      <c r="G330" s="1327"/>
      <c r="H330" s="1326"/>
      <c r="I330" s="1327"/>
      <c r="J330" s="1687"/>
      <c r="K330" s="1687"/>
      <c r="L330" s="1687"/>
      <c r="M330" s="1328"/>
      <c r="N330" s="1328"/>
      <c r="O330" s="1687"/>
      <c r="P330" s="1687"/>
      <c r="Q330" s="1687"/>
      <c r="R330" s="1326"/>
      <c r="S330" s="1327"/>
      <c r="T330" s="1326"/>
      <c r="U330" s="1326"/>
      <c r="V330" s="1329">
        <f t="shared" si="63"/>
        <v>0</v>
      </c>
      <c r="W330" s="1329">
        <f t="shared" si="64"/>
        <v>0</v>
      </c>
      <c r="X330" s="1329">
        <f t="shared" si="65"/>
        <v>0</v>
      </c>
      <c r="Y330" s="1329">
        <f t="shared" si="66"/>
        <v>0</v>
      </c>
      <c r="Z330" s="1329">
        <f t="shared" si="67"/>
        <v>0</v>
      </c>
      <c r="AA330" s="1329">
        <f t="shared" si="68"/>
        <v>0</v>
      </c>
      <c r="AB330" s="1329"/>
      <c r="AC330" s="1329">
        <f t="shared" si="69"/>
        <v>0</v>
      </c>
      <c r="AD330" s="1329"/>
      <c r="AE330" s="1329">
        <f t="shared" si="70"/>
        <v>0</v>
      </c>
      <c r="AF330" s="1329">
        <f t="shared" si="71"/>
        <v>0</v>
      </c>
      <c r="AG330" s="1330">
        <f t="shared" si="72"/>
        <v>0</v>
      </c>
      <c r="AH330" s="1330">
        <f t="shared" si="73"/>
        <v>0</v>
      </c>
    </row>
    <row r="331" spans="2:34">
      <c r="B331" s="1687"/>
      <c r="C331" s="1687"/>
      <c r="D331" s="1687"/>
      <c r="E331" s="2152"/>
      <c r="F331" s="1326"/>
      <c r="G331" s="1327"/>
      <c r="H331" s="1326"/>
      <c r="I331" s="1327"/>
      <c r="J331" s="1687"/>
      <c r="K331" s="1687"/>
      <c r="L331" s="1687"/>
      <c r="M331" s="1328"/>
      <c r="N331" s="1328"/>
      <c r="O331" s="1687"/>
      <c r="P331" s="1687"/>
      <c r="Q331" s="1687"/>
      <c r="R331" s="1326"/>
      <c r="S331" s="1327"/>
      <c r="T331" s="1326"/>
      <c r="U331" s="1326"/>
      <c r="V331" s="1329">
        <f t="shared" si="63"/>
        <v>0</v>
      </c>
      <c r="W331" s="1329">
        <f t="shared" si="64"/>
        <v>0</v>
      </c>
      <c r="X331" s="1329">
        <f t="shared" si="65"/>
        <v>0</v>
      </c>
      <c r="Y331" s="1329">
        <f t="shared" si="66"/>
        <v>0</v>
      </c>
      <c r="Z331" s="1329">
        <f t="shared" si="67"/>
        <v>0</v>
      </c>
      <c r="AA331" s="1329">
        <f t="shared" si="68"/>
        <v>0</v>
      </c>
      <c r="AB331" s="1329"/>
      <c r="AC331" s="1329">
        <f t="shared" si="69"/>
        <v>0</v>
      </c>
      <c r="AD331" s="1329"/>
      <c r="AE331" s="1329">
        <f t="shared" si="70"/>
        <v>0</v>
      </c>
      <c r="AF331" s="1329">
        <f t="shared" si="71"/>
        <v>0</v>
      </c>
      <c r="AG331" s="1330">
        <f t="shared" si="72"/>
        <v>0</v>
      </c>
      <c r="AH331" s="1330">
        <f t="shared" si="73"/>
        <v>0</v>
      </c>
    </row>
    <row r="332" spans="2:34">
      <c r="B332" s="1687"/>
      <c r="C332" s="1687"/>
      <c r="D332" s="1687"/>
      <c r="E332" s="2152"/>
      <c r="F332" s="1326"/>
      <c r="G332" s="1327"/>
      <c r="H332" s="1326"/>
      <c r="I332" s="1327"/>
      <c r="J332" s="1687"/>
      <c r="K332" s="1687"/>
      <c r="L332" s="1687"/>
      <c r="M332" s="1328"/>
      <c r="N332" s="1328"/>
      <c r="O332" s="1687"/>
      <c r="P332" s="1687"/>
      <c r="Q332" s="1687"/>
      <c r="R332" s="1326"/>
      <c r="S332" s="1327"/>
      <c r="T332" s="1326"/>
      <c r="U332" s="1326"/>
      <c r="V332" s="1329">
        <f t="shared" si="63"/>
        <v>0</v>
      </c>
      <c r="W332" s="1329">
        <f t="shared" si="64"/>
        <v>0</v>
      </c>
      <c r="X332" s="1329">
        <f t="shared" si="65"/>
        <v>0</v>
      </c>
      <c r="Y332" s="1329">
        <f t="shared" si="66"/>
        <v>0</v>
      </c>
      <c r="Z332" s="1329">
        <f t="shared" si="67"/>
        <v>0</v>
      </c>
      <c r="AA332" s="1329">
        <f t="shared" si="68"/>
        <v>0</v>
      </c>
      <c r="AB332" s="1329"/>
      <c r="AC332" s="1329">
        <f t="shared" si="69"/>
        <v>0</v>
      </c>
      <c r="AD332" s="1329"/>
      <c r="AE332" s="1329">
        <f t="shared" si="70"/>
        <v>0</v>
      </c>
      <c r="AF332" s="1329">
        <f t="shared" si="71"/>
        <v>0</v>
      </c>
      <c r="AG332" s="1330">
        <f t="shared" si="72"/>
        <v>0</v>
      </c>
      <c r="AH332" s="1330">
        <f t="shared" si="73"/>
        <v>0</v>
      </c>
    </row>
    <row r="333" spans="2:34">
      <c r="B333" s="1687"/>
      <c r="C333" s="1687"/>
      <c r="D333" s="1687"/>
      <c r="E333" s="2152"/>
      <c r="F333" s="1326"/>
      <c r="G333" s="1327"/>
      <c r="H333" s="1326"/>
      <c r="I333" s="1327"/>
      <c r="J333" s="1687"/>
      <c r="K333" s="1687"/>
      <c r="L333" s="1687"/>
      <c r="M333" s="1328"/>
      <c r="N333" s="1328"/>
      <c r="O333" s="1687"/>
      <c r="P333" s="1687"/>
      <c r="Q333" s="1687"/>
      <c r="R333" s="1326"/>
      <c r="S333" s="1327"/>
      <c r="T333" s="1326"/>
      <c r="U333" s="1326"/>
      <c r="V333" s="1329">
        <f t="shared" si="63"/>
        <v>0</v>
      </c>
      <c r="W333" s="1329">
        <f t="shared" si="64"/>
        <v>0</v>
      </c>
      <c r="X333" s="1329">
        <f t="shared" si="65"/>
        <v>0</v>
      </c>
      <c r="Y333" s="1329">
        <f t="shared" si="66"/>
        <v>0</v>
      </c>
      <c r="Z333" s="1329">
        <f t="shared" si="67"/>
        <v>0</v>
      </c>
      <c r="AA333" s="1329">
        <f t="shared" si="68"/>
        <v>0</v>
      </c>
      <c r="AB333" s="1329"/>
      <c r="AC333" s="1329">
        <f t="shared" si="69"/>
        <v>0</v>
      </c>
      <c r="AD333" s="1329"/>
      <c r="AE333" s="1329">
        <f t="shared" si="70"/>
        <v>0</v>
      </c>
      <c r="AF333" s="1329">
        <f t="shared" si="71"/>
        <v>0</v>
      </c>
      <c r="AG333" s="1330">
        <f t="shared" si="72"/>
        <v>0</v>
      </c>
      <c r="AH333" s="1330">
        <f t="shared" si="73"/>
        <v>0</v>
      </c>
    </row>
    <row r="334" spans="2:34">
      <c r="B334" s="1687"/>
      <c r="C334" s="1687"/>
      <c r="D334" s="1687"/>
      <c r="E334" s="2152"/>
      <c r="F334" s="1326"/>
      <c r="G334" s="1327"/>
      <c r="H334" s="1326"/>
      <c r="I334" s="1327"/>
      <c r="J334" s="1687"/>
      <c r="K334" s="1687"/>
      <c r="L334" s="1687"/>
      <c r="M334" s="1328"/>
      <c r="N334" s="1328"/>
      <c r="O334" s="1687"/>
      <c r="P334" s="1687"/>
      <c r="Q334" s="1687"/>
      <c r="R334" s="1326"/>
      <c r="S334" s="1327"/>
      <c r="T334" s="1326"/>
      <c r="U334" s="1326"/>
      <c r="V334" s="1329">
        <f t="shared" si="63"/>
        <v>0</v>
      </c>
      <c r="W334" s="1329">
        <f t="shared" si="64"/>
        <v>0</v>
      </c>
      <c r="X334" s="1329">
        <f t="shared" si="65"/>
        <v>0</v>
      </c>
      <c r="Y334" s="1329">
        <f t="shared" si="66"/>
        <v>0</v>
      </c>
      <c r="Z334" s="1329">
        <f t="shared" si="67"/>
        <v>0</v>
      </c>
      <c r="AA334" s="1329">
        <f t="shared" si="68"/>
        <v>0</v>
      </c>
      <c r="AB334" s="1329"/>
      <c r="AC334" s="1329">
        <f t="shared" si="69"/>
        <v>0</v>
      </c>
      <c r="AD334" s="1329"/>
      <c r="AE334" s="1329">
        <f t="shared" si="70"/>
        <v>0</v>
      </c>
      <c r="AF334" s="1329">
        <f t="shared" si="71"/>
        <v>0</v>
      </c>
      <c r="AG334" s="1330">
        <f t="shared" si="72"/>
        <v>0</v>
      </c>
      <c r="AH334" s="1330">
        <f t="shared" si="73"/>
        <v>0</v>
      </c>
    </row>
    <row r="335" spans="2:34">
      <c r="B335" s="1687"/>
      <c r="C335" s="1687"/>
      <c r="D335" s="1687"/>
      <c r="E335" s="2152"/>
      <c r="F335" s="1326"/>
      <c r="G335" s="1327"/>
      <c r="H335" s="1326"/>
      <c r="I335" s="1327"/>
      <c r="J335" s="1687"/>
      <c r="K335" s="1687"/>
      <c r="L335" s="1687"/>
      <c r="M335" s="1328"/>
      <c r="N335" s="1328"/>
      <c r="O335" s="1687"/>
      <c r="P335" s="1687"/>
      <c r="Q335" s="1687"/>
      <c r="R335" s="1326"/>
      <c r="S335" s="1327"/>
      <c r="T335" s="1326"/>
      <c r="U335" s="1326"/>
      <c r="V335" s="1329">
        <f t="shared" si="63"/>
        <v>0</v>
      </c>
      <c r="W335" s="1329">
        <f t="shared" si="64"/>
        <v>0</v>
      </c>
      <c r="X335" s="1329">
        <f t="shared" si="65"/>
        <v>0</v>
      </c>
      <c r="Y335" s="1329">
        <f t="shared" si="66"/>
        <v>0</v>
      </c>
      <c r="Z335" s="1329">
        <f t="shared" si="67"/>
        <v>0</v>
      </c>
      <c r="AA335" s="1329">
        <f t="shared" si="68"/>
        <v>0</v>
      </c>
      <c r="AB335" s="1329"/>
      <c r="AC335" s="1329">
        <f t="shared" si="69"/>
        <v>0</v>
      </c>
      <c r="AD335" s="1329"/>
      <c r="AE335" s="1329">
        <f t="shared" si="70"/>
        <v>0</v>
      </c>
      <c r="AF335" s="1329">
        <f t="shared" si="71"/>
        <v>0</v>
      </c>
      <c r="AG335" s="1330">
        <f t="shared" si="72"/>
        <v>0</v>
      </c>
      <c r="AH335" s="1330">
        <f t="shared" si="73"/>
        <v>0</v>
      </c>
    </row>
    <row r="336" spans="2:34">
      <c r="B336" s="1687"/>
      <c r="C336" s="1687"/>
      <c r="D336" s="1687"/>
      <c r="E336" s="2152"/>
      <c r="F336" s="1326"/>
      <c r="G336" s="1327"/>
      <c r="H336" s="1326"/>
      <c r="I336" s="1327"/>
      <c r="J336" s="1687"/>
      <c r="K336" s="1687"/>
      <c r="L336" s="1687"/>
      <c r="M336" s="1328"/>
      <c r="N336" s="1328"/>
      <c r="O336" s="1687"/>
      <c r="P336" s="1687"/>
      <c r="Q336" s="1687"/>
      <c r="R336" s="1326"/>
      <c r="S336" s="1327"/>
      <c r="T336" s="1326"/>
      <c r="U336" s="1326"/>
      <c r="V336" s="1329">
        <f t="shared" si="63"/>
        <v>0</v>
      </c>
      <c r="W336" s="1329">
        <f t="shared" si="64"/>
        <v>0</v>
      </c>
      <c r="X336" s="1329">
        <f t="shared" si="65"/>
        <v>0</v>
      </c>
      <c r="Y336" s="1329">
        <f t="shared" si="66"/>
        <v>0</v>
      </c>
      <c r="Z336" s="1329">
        <f t="shared" si="67"/>
        <v>0</v>
      </c>
      <c r="AA336" s="1329">
        <f t="shared" si="68"/>
        <v>0</v>
      </c>
      <c r="AB336" s="1329"/>
      <c r="AC336" s="1329">
        <f t="shared" si="69"/>
        <v>0</v>
      </c>
      <c r="AD336" s="1329"/>
      <c r="AE336" s="1329">
        <f t="shared" si="70"/>
        <v>0</v>
      </c>
      <c r="AF336" s="1329">
        <f t="shared" si="71"/>
        <v>0</v>
      </c>
      <c r="AG336" s="1330">
        <f t="shared" si="72"/>
        <v>0</v>
      </c>
      <c r="AH336" s="1330">
        <f t="shared" si="73"/>
        <v>0</v>
      </c>
    </row>
    <row r="337" spans="2:34">
      <c r="B337" s="1687"/>
      <c r="C337" s="1687"/>
      <c r="D337" s="1687"/>
      <c r="E337" s="2152"/>
      <c r="F337" s="1326"/>
      <c r="G337" s="1327"/>
      <c r="H337" s="1326"/>
      <c r="I337" s="1327"/>
      <c r="J337" s="1687"/>
      <c r="K337" s="1687"/>
      <c r="L337" s="1687"/>
      <c r="M337" s="1328"/>
      <c r="N337" s="1328"/>
      <c r="O337" s="1687"/>
      <c r="P337" s="1687"/>
      <c r="Q337" s="1687"/>
      <c r="R337" s="1326"/>
      <c r="S337" s="1327"/>
      <c r="T337" s="1326"/>
      <c r="U337" s="1326"/>
      <c r="V337" s="1329">
        <f t="shared" si="63"/>
        <v>0</v>
      </c>
      <c r="W337" s="1329">
        <f t="shared" si="64"/>
        <v>0</v>
      </c>
      <c r="X337" s="1329">
        <f t="shared" si="65"/>
        <v>0</v>
      </c>
      <c r="Y337" s="1329">
        <f t="shared" si="66"/>
        <v>0</v>
      </c>
      <c r="Z337" s="1329">
        <f t="shared" si="67"/>
        <v>0</v>
      </c>
      <c r="AA337" s="1329">
        <f t="shared" si="68"/>
        <v>0</v>
      </c>
      <c r="AB337" s="1329"/>
      <c r="AC337" s="1329">
        <f t="shared" si="69"/>
        <v>0</v>
      </c>
      <c r="AD337" s="1329"/>
      <c r="AE337" s="1329">
        <f t="shared" si="70"/>
        <v>0</v>
      </c>
      <c r="AF337" s="1329">
        <f t="shared" si="71"/>
        <v>0</v>
      </c>
      <c r="AG337" s="1330">
        <f t="shared" si="72"/>
        <v>0</v>
      </c>
      <c r="AH337" s="1330">
        <f t="shared" si="73"/>
        <v>0</v>
      </c>
    </row>
    <row r="338" spans="2:34">
      <c r="B338" s="1687"/>
      <c r="C338" s="1687"/>
      <c r="D338" s="1687"/>
      <c r="E338" s="2152"/>
      <c r="F338" s="1326"/>
      <c r="G338" s="1327"/>
      <c r="H338" s="1326"/>
      <c r="I338" s="1327"/>
      <c r="J338" s="1687"/>
      <c r="K338" s="1687"/>
      <c r="L338" s="1687"/>
      <c r="M338" s="1328"/>
      <c r="N338" s="1328"/>
      <c r="O338" s="1687"/>
      <c r="P338" s="1687"/>
      <c r="Q338" s="1687"/>
      <c r="R338" s="1326"/>
      <c r="S338" s="1327"/>
      <c r="T338" s="1326"/>
      <c r="U338" s="1326"/>
      <c r="V338" s="1329">
        <f t="shared" si="63"/>
        <v>0</v>
      </c>
      <c r="W338" s="1329">
        <f t="shared" si="64"/>
        <v>0</v>
      </c>
      <c r="X338" s="1329">
        <f t="shared" si="65"/>
        <v>0</v>
      </c>
      <c r="Y338" s="1329">
        <f t="shared" si="66"/>
        <v>0</v>
      </c>
      <c r="Z338" s="1329">
        <f t="shared" si="67"/>
        <v>0</v>
      </c>
      <c r="AA338" s="1329">
        <f t="shared" si="68"/>
        <v>0</v>
      </c>
      <c r="AB338" s="1329"/>
      <c r="AC338" s="1329">
        <f t="shared" si="69"/>
        <v>0</v>
      </c>
      <c r="AD338" s="1329"/>
      <c r="AE338" s="1329">
        <f t="shared" si="70"/>
        <v>0</v>
      </c>
      <c r="AF338" s="1329">
        <f t="shared" si="71"/>
        <v>0</v>
      </c>
      <c r="AG338" s="1330">
        <f t="shared" si="72"/>
        <v>0</v>
      </c>
      <c r="AH338" s="1330">
        <f t="shared" si="73"/>
        <v>0</v>
      </c>
    </row>
    <row r="339" spans="2:34">
      <c r="B339" s="1687"/>
      <c r="C339" s="1687"/>
      <c r="D339" s="1687"/>
      <c r="E339" s="2152"/>
      <c r="F339" s="1326"/>
      <c r="G339" s="1327"/>
      <c r="H339" s="1326"/>
      <c r="I339" s="1327"/>
      <c r="J339" s="1687"/>
      <c r="K339" s="1687"/>
      <c r="L339" s="1687"/>
      <c r="M339" s="1328"/>
      <c r="N339" s="1328"/>
      <c r="O339" s="1687"/>
      <c r="P339" s="1687"/>
      <c r="Q339" s="1687"/>
      <c r="R339" s="1326"/>
      <c r="S339" s="1327"/>
      <c r="T339" s="1326"/>
      <c r="U339" s="1326"/>
      <c r="V339" s="1329">
        <f t="shared" si="63"/>
        <v>0</v>
      </c>
      <c r="W339" s="1329">
        <f t="shared" si="64"/>
        <v>0</v>
      </c>
      <c r="X339" s="1329">
        <f t="shared" si="65"/>
        <v>0</v>
      </c>
      <c r="Y339" s="1329">
        <f t="shared" si="66"/>
        <v>0</v>
      </c>
      <c r="Z339" s="1329">
        <f t="shared" si="67"/>
        <v>0</v>
      </c>
      <c r="AA339" s="1329">
        <f t="shared" si="68"/>
        <v>0</v>
      </c>
      <c r="AB339" s="1329"/>
      <c r="AC339" s="1329">
        <f t="shared" si="69"/>
        <v>0</v>
      </c>
      <c r="AD339" s="1329"/>
      <c r="AE339" s="1329">
        <f t="shared" si="70"/>
        <v>0</v>
      </c>
      <c r="AF339" s="1329">
        <f t="shared" si="71"/>
        <v>0</v>
      </c>
      <c r="AG339" s="1330">
        <f t="shared" si="72"/>
        <v>0</v>
      </c>
      <c r="AH339" s="1330">
        <f t="shared" si="73"/>
        <v>0</v>
      </c>
    </row>
    <row r="340" spans="2:34">
      <c r="B340" s="1687"/>
      <c r="C340" s="1687"/>
      <c r="D340" s="1687"/>
      <c r="E340" s="2152"/>
      <c r="F340" s="1326"/>
      <c r="G340" s="1327"/>
      <c r="H340" s="1326"/>
      <c r="I340" s="1327"/>
      <c r="J340" s="1687"/>
      <c r="K340" s="1687"/>
      <c r="L340" s="1687"/>
      <c r="M340" s="1328"/>
      <c r="N340" s="1328"/>
      <c r="O340" s="1687"/>
      <c r="P340" s="1687"/>
      <c r="Q340" s="1687"/>
      <c r="R340" s="1326"/>
      <c r="S340" s="1327"/>
      <c r="T340" s="1326"/>
      <c r="U340" s="1326"/>
      <c r="V340" s="1329">
        <f t="shared" si="63"/>
        <v>0</v>
      </c>
      <c r="W340" s="1329">
        <f t="shared" si="64"/>
        <v>0</v>
      </c>
      <c r="X340" s="1329">
        <f t="shared" si="65"/>
        <v>0</v>
      </c>
      <c r="Y340" s="1329">
        <f t="shared" si="66"/>
        <v>0</v>
      </c>
      <c r="Z340" s="1329">
        <f t="shared" si="67"/>
        <v>0</v>
      </c>
      <c r="AA340" s="1329">
        <f t="shared" si="68"/>
        <v>0</v>
      </c>
      <c r="AB340" s="1329"/>
      <c r="AC340" s="1329">
        <f t="shared" si="69"/>
        <v>0</v>
      </c>
      <c r="AD340" s="1329"/>
      <c r="AE340" s="1329">
        <f t="shared" si="70"/>
        <v>0</v>
      </c>
      <c r="AF340" s="1329">
        <f t="shared" si="71"/>
        <v>0</v>
      </c>
      <c r="AG340" s="1330">
        <f t="shared" si="72"/>
        <v>0</v>
      </c>
      <c r="AH340" s="1330">
        <f t="shared" si="73"/>
        <v>0</v>
      </c>
    </row>
    <row r="341" spans="2:34">
      <c r="B341" s="1687"/>
      <c r="C341" s="1687"/>
      <c r="D341" s="1687"/>
      <c r="E341" s="2152"/>
      <c r="F341" s="1326"/>
      <c r="G341" s="1327"/>
      <c r="H341" s="1326"/>
      <c r="I341" s="1327"/>
      <c r="J341" s="1687"/>
      <c r="K341" s="1687"/>
      <c r="L341" s="1687"/>
      <c r="M341" s="1328"/>
      <c r="N341" s="1328"/>
      <c r="O341" s="1687"/>
      <c r="P341" s="1687"/>
      <c r="Q341" s="1687"/>
      <c r="R341" s="1326"/>
      <c r="S341" s="1327"/>
      <c r="T341" s="1326"/>
      <c r="U341" s="1326"/>
      <c r="V341" s="1329">
        <f t="shared" si="63"/>
        <v>0</v>
      </c>
      <c r="W341" s="1329">
        <f t="shared" si="64"/>
        <v>0</v>
      </c>
      <c r="X341" s="1329">
        <f t="shared" si="65"/>
        <v>0</v>
      </c>
      <c r="Y341" s="1329">
        <f t="shared" si="66"/>
        <v>0</v>
      </c>
      <c r="Z341" s="1329">
        <f t="shared" si="67"/>
        <v>0</v>
      </c>
      <c r="AA341" s="1329">
        <f t="shared" si="68"/>
        <v>0</v>
      </c>
      <c r="AB341" s="1329"/>
      <c r="AC341" s="1329">
        <f t="shared" si="69"/>
        <v>0</v>
      </c>
      <c r="AD341" s="1329"/>
      <c r="AE341" s="1329">
        <f t="shared" si="70"/>
        <v>0</v>
      </c>
      <c r="AF341" s="1329">
        <f t="shared" si="71"/>
        <v>0</v>
      </c>
      <c r="AG341" s="1330">
        <f t="shared" si="72"/>
        <v>0</v>
      </c>
      <c r="AH341" s="1330">
        <f t="shared" si="73"/>
        <v>0</v>
      </c>
    </row>
    <row r="342" spans="2:34">
      <c r="B342" s="1687"/>
      <c r="C342" s="1687"/>
      <c r="D342" s="1687"/>
      <c r="E342" s="2152"/>
      <c r="F342" s="1326"/>
      <c r="G342" s="1327"/>
      <c r="H342" s="1326"/>
      <c r="I342" s="1327"/>
      <c r="J342" s="1687"/>
      <c r="K342" s="1687"/>
      <c r="L342" s="1687"/>
      <c r="M342" s="1328"/>
      <c r="N342" s="1328"/>
      <c r="O342" s="1687"/>
      <c r="P342" s="1687"/>
      <c r="Q342" s="1687"/>
      <c r="R342" s="1326"/>
      <c r="S342" s="1327"/>
      <c r="T342" s="1326"/>
      <c r="U342" s="1326"/>
      <c r="V342" s="1329">
        <f t="shared" si="63"/>
        <v>0</v>
      </c>
      <c r="W342" s="1329">
        <f t="shared" si="64"/>
        <v>0</v>
      </c>
      <c r="X342" s="1329">
        <f t="shared" si="65"/>
        <v>0</v>
      </c>
      <c r="Y342" s="1329">
        <f t="shared" si="66"/>
        <v>0</v>
      </c>
      <c r="Z342" s="1329">
        <f t="shared" si="67"/>
        <v>0</v>
      </c>
      <c r="AA342" s="1329">
        <f t="shared" si="68"/>
        <v>0</v>
      </c>
      <c r="AB342" s="1329"/>
      <c r="AC342" s="1329">
        <f t="shared" si="69"/>
        <v>0</v>
      </c>
      <c r="AD342" s="1329"/>
      <c r="AE342" s="1329">
        <f t="shared" si="70"/>
        <v>0</v>
      </c>
      <c r="AF342" s="1329">
        <f t="shared" si="71"/>
        <v>0</v>
      </c>
      <c r="AG342" s="1330">
        <f t="shared" si="72"/>
        <v>0</v>
      </c>
      <c r="AH342" s="1330">
        <f t="shared" si="73"/>
        <v>0</v>
      </c>
    </row>
    <row r="343" spans="2:34">
      <c r="B343" s="1687"/>
      <c r="C343" s="1687"/>
      <c r="D343" s="1687"/>
      <c r="E343" s="2152"/>
      <c r="F343" s="1326"/>
      <c r="G343" s="1327"/>
      <c r="H343" s="1326"/>
      <c r="I343" s="1327"/>
      <c r="J343" s="1687"/>
      <c r="K343" s="1687"/>
      <c r="L343" s="1687"/>
      <c r="M343" s="1328"/>
      <c r="N343" s="1328"/>
      <c r="O343" s="1687"/>
      <c r="P343" s="1687"/>
      <c r="Q343" s="1687"/>
      <c r="R343" s="1326"/>
      <c r="S343" s="1327"/>
      <c r="T343" s="1326"/>
      <c r="U343" s="1326"/>
      <c r="V343" s="1329">
        <f t="shared" si="63"/>
        <v>0</v>
      </c>
      <c r="W343" s="1329">
        <f t="shared" si="64"/>
        <v>0</v>
      </c>
      <c r="X343" s="1329">
        <f t="shared" si="65"/>
        <v>0</v>
      </c>
      <c r="Y343" s="1329">
        <f t="shared" si="66"/>
        <v>0</v>
      </c>
      <c r="Z343" s="1329">
        <f t="shared" si="67"/>
        <v>0</v>
      </c>
      <c r="AA343" s="1329">
        <f t="shared" si="68"/>
        <v>0</v>
      </c>
      <c r="AB343" s="1329"/>
      <c r="AC343" s="1329">
        <f t="shared" si="69"/>
        <v>0</v>
      </c>
      <c r="AD343" s="1329"/>
      <c r="AE343" s="1329">
        <f t="shared" si="70"/>
        <v>0</v>
      </c>
      <c r="AF343" s="1329">
        <f t="shared" si="71"/>
        <v>0</v>
      </c>
      <c r="AG343" s="1330">
        <f t="shared" si="72"/>
        <v>0</v>
      </c>
      <c r="AH343" s="1330">
        <f t="shared" si="73"/>
        <v>0</v>
      </c>
    </row>
    <row r="344" spans="2:34">
      <c r="B344" s="1687"/>
      <c r="C344" s="1687"/>
      <c r="D344" s="1687"/>
      <c r="E344" s="2152"/>
      <c r="F344" s="1326"/>
      <c r="G344" s="1327"/>
      <c r="H344" s="1326"/>
      <c r="I344" s="1327"/>
      <c r="J344" s="1687"/>
      <c r="K344" s="1687"/>
      <c r="L344" s="1687"/>
      <c r="M344" s="1328"/>
      <c r="N344" s="1328"/>
      <c r="O344" s="1687"/>
      <c r="P344" s="1687"/>
      <c r="Q344" s="1687"/>
      <c r="R344" s="1326"/>
      <c r="S344" s="1327"/>
      <c r="T344" s="1326"/>
      <c r="U344" s="1326"/>
      <c r="V344" s="1329">
        <f t="shared" si="63"/>
        <v>0</v>
      </c>
      <c r="W344" s="1329">
        <f t="shared" si="64"/>
        <v>0</v>
      </c>
      <c r="X344" s="1329">
        <f t="shared" si="65"/>
        <v>0</v>
      </c>
      <c r="Y344" s="1329">
        <f t="shared" si="66"/>
        <v>0</v>
      </c>
      <c r="Z344" s="1329">
        <f t="shared" si="67"/>
        <v>0</v>
      </c>
      <c r="AA344" s="1329">
        <f t="shared" si="68"/>
        <v>0</v>
      </c>
      <c r="AB344" s="1329"/>
      <c r="AC344" s="1329">
        <f t="shared" si="69"/>
        <v>0</v>
      </c>
      <c r="AD344" s="1329"/>
      <c r="AE344" s="1329">
        <f t="shared" si="70"/>
        <v>0</v>
      </c>
      <c r="AF344" s="1329">
        <f t="shared" si="71"/>
        <v>0</v>
      </c>
      <c r="AG344" s="1330">
        <f t="shared" si="72"/>
        <v>0</v>
      </c>
      <c r="AH344" s="1330">
        <f t="shared" si="73"/>
        <v>0</v>
      </c>
    </row>
    <row r="345" spans="2:34">
      <c r="B345" s="1687"/>
      <c r="C345" s="1687"/>
      <c r="D345" s="1687"/>
      <c r="E345" s="2152"/>
      <c r="F345" s="1326"/>
      <c r="G345" s="1327"/>
      <c r="H345" s="1326"/>
      <c r="I345" s="1327"/>
      <c r="J345" s="1687"/>
      <c r="K345" s="1687"/>
      <c r="L345" s="1687"/>
      <c r="M345" s="1328"/>
      <c r="N345" s="1328"/>
      <c r="O345" s="1687"/>
      <c r="P345" s="1687"/>
      <c r="Q345" s="1687"/>
      <c r="R345" s="1326"/>
      <c r="S345" s="1327"/>
      <c r="T345" s="1326"/>
      <c r="U345" s="1326"/>
      <c r="V345" s="1329">
        <f t="shared" si="63"/>
        <v>0</v>
      </c>
      <c r="W345" s="1329">
        <f t="shared" si="64"/>
        <v>0</v>
      </c>
      <c r="X345" s="1329">
        <f t="shared" si="65"/>
        <v>0</v>
      </c>
      <c r="Y345" s="1329">
        <f t="shared" si="66"/>
        <v>0</v>
      </c>
      <c r="Z345" s="1329">
        <f t="shared" si="67"/>
        <v>0</v>
      </c>
      <c r="AA345" s="1329">
        <f t="shared" si="68"/>
        <v>0</v>
      </c>
      <c r="AB345" s="1329"/>
      <c r="AC345" s="1329">
        <f t="shared" si="69"/>
        <v>0</v>
      </c>
      <c r="AD345" s="1329"/>
      <c r="AE345" s="1329">
        <f t="shared" si="70"/>
        <v>0</v>
      </c>
      <c r="AF345" s="1329">
        <f t="shared" si="71"/>
        <v>0</v>
      </c>
      <c r="AG345" s="1330">
        <f t="shared" si="72"/>
        <v>0</v>
      </c>
      <c r="AH345" s="1330">
        <f t="shared" si="73"/>
        <v>0</v>
      </c>
    </row>
    <row r="346" spans="2:34">
      <c r="B346" s="1687"/>
      <c r="C346" s="1687"/>
      <c r="D346" s="1687"/>
      <c r="E346" s="2152"/>
      <c r="F346" s="1326"/>
      <c r="G346" s="1327"/>
      <c r="H346" s="1326"/>
      <c r="I346" s="1327"/>
      <c r="J346" s="1687"/>
      <c r="K346" s="1687"/>
      <c r="L346" s="1687"/>
      <c r="M346" s="1328"/>
      <c r="N346" s="1328"/>
      <c r="O346" s="1687"/>
      <c r="P346" s="1687"/>
      <c r="Q346" s="1687"/>
      <c r="R346" s="1326"/>
      <c r="S346" s="1327"/>
      <c r="T346" s="1326"/>
      <c r="U346" s="1326"/>
      <c r="V346" s="1329">
        <f t="shared" si="63"/>
        <v>0</v>
      </c>
      <c r="W346" s="1329">
        <f t="shared" si="64"/>
        <v>0</v>
      </c>
      <c r="X346" s="1329">
        <f t="shared" si="65"/>
        <v>0</v>
      </c>
      <c r="Y346" s="1329">
        <f t="shared" si="66"/>
        <v>0</v>
      </c>
      <c r="Z346" s="1329">
        <f t="shared" si="67"/>
        <v>0</v>
      </c>
      <c r="AA346" s="1329">
        <f t="shared" si="68"/>
        <v>0</v>
      </c>
      <c r="AB346" s="1329"/>
      <c r="AC346" s="1329">
        <f t="shared" si="69"/>
        <v>0</v>
      </c>
      <c r="AD346" s="1329"/>
      <c r="AE346" s="1329">
        <f t="shared" si="70"/>
        <v>0</v>
      </c>
      <c r="AF346" s="1329">
        <f t="shared" si="71"/>
        <v>0</v>
      </c>
      <c r="AG346" s="1330">
        <f t="shared" si="72"/>
        <v>0</v>
      </c>
      <c r="AH346" s="1330">
        <f t="shared" si="73"/>
        <v>0</v>
      </c>
    </row>
    <row r="347" spans="2:34">
      <c r="B347" s="1687"/>
      <c r="C347" s="1687"/>
      <c r="D347" s="1687"/>
      <c r="E347" s="2152"/>
      <c r="F347" s="1326"/>
      <c r="G347" s="1327"/>
      <c r="H347" s="1326"/>
      <c r="I347" s="1327"/>
      <c r="J347" s="1687"/>
      <c r="K347" s="1687"/>
      <c r="L347" s="1687"/>
      <c r="M347" s="1328"/>
      <c r="N347" s="1328"/>
      <c r="O347" s="1687"/>
      <c r="P347" s="1687"/>
      <c r="Q347" s="1687"/>
      <c r="R347" s="1326"/>
      <c r="S347" s="1327"/>
      <c r="T347" s="1326"/>
      <c r="U347" s="1326"/>
      <c r="V347" s="1329">
        <f t="shared" si="63"/>
        <v>0</v>
      </c>
      <c r="W347" s="1329">
        <f t="shared" si="64"/>
        <v>0</v>
      </c>
      <c r="X347" s="1329">
        <f t="shared" si="65"/>
        <v>0</v>
      </c>
      <c r="Y347" s="1329">
        <f t="shared" si="66"/>
        <v>0</v>
      </c>
      <c r="Z347" s="1329">
        <f t="shared" si="67"/>
        <v>0</v>
      </c>
      <c r="AA347" s="1329">
        <f t="shared" si="68"/>
        <v>0</v>
      </c>
      <c r="AB347" s="1329"/>
      <c r="AC347" s="1329">
        <f t="shared" si="69"/>
        <v>0</v>
      </c>
      <c r="AD347" s="1329"/>
      <c r="AE347" s="1329">
        <f t="shared" si="70"/>
        <v>0</v>
      </c>
      <c r="AF347" s="1329">
        <f t="shared" si="71"/>
        <v>0</v>
      </c>
      <c r="AG347" s="1330">
        <f t="shared" si="72"/>
        <v>0</v>
      </c>
      <c r="AH347" s="1330">
        <f t="shared" si="73"/>
        <v>0</v>
      </c>
    </row>
    <row r="348" spans="2:34">
      <c r="B348" s="1687"/>
      <c r="C348" s="1687"/>
      <c r="D348" s="1687"/>
      <c r="E348" s="2152"/>
      <c r="F348" s="1326"/>
      <c r="G348" s="1327"/>
      <c r="H348" s="1326"/>
      <c r="I348" s="1327"/>
      <c r="J348" s="1687"/>
      <c r="K348" s="1687"/>
      <c r="L348" s="1687"/>
      <c r="M348" s="1328"/>
      <c r="N348" s="1328"/>
      <c r="O348" s="1687"/>
      <c r="P348" s="1687"/>
      <c r="Q348" s="1687"/>
      <c r="R348" s="1326"/>
      <c r="S348" s="1327"/>
      <c r="T348" s="1326"/>
      <c r="U348" s="1326"/>
      <c r="V348" s="1329">
        <f t="shared" si="63"/>
        <v>0</v>
      </c>
      <c r="W348" s="1329">
        <f t="shared" si="64"/>
        <v>0</v>
      </c>
      <c r="X348" s="1329">
        <f t="shared" si="65"/>
        <v>0</v>
      </c>
      <c r="Y348" s="1329">
        <f t="shared" si="66"/>
        <v>0</v>
      </c>
      <c r="Z348" s="1329">
        <f t="shared" si="67"/>
        <v>0</v>
      </c>
      <c r="AA348" s="1329">
        <f t="shared" si="68"/>
        <v>0</v>
      </c>
      <c r="AB348" s="1329"/>
      <c r="AC348" s="1329">
        <f t="shared" si="69"/>
        <v>0</v>
      </c>
      <c r="AD348" s="1329"/>
      <c r="AE348" s="1329">
        <f t="shared" si="70"/>
        <v>0</v>
      </c>
      <c r="AF348" s="1329">
        <f t="shared" si="71"/>
        <v>0</v>
      </c>
      <c r="AG348" s="1330">
        <f t="shared" si="72"/>
        <v>0</v>
      </c>
      <c r="AH348" s="1330">
        <f t="shared" si="73"/>
        <v>0</v>
      </c>
    </row>
    <row r="349" spans="2:34">
      <c r="B349" s="1687"/>
      <c r="C349" s="1687"/>
      <c r="D349" s="1687"/>
      <c r="E349" s="2152"/>
      <c r="F349" s="1326"/>
      <c r="G349" s="1327"/>
      <c r="H349" s="1326"/>
      <c r="I349" s="1327"/>
      <c r="J349" s="1687"/>
      <c r="K349" s="1687"/>
      <c r="L349" s="1687"/>
      <c r="M349" s="1328"/>
      <c r="N349" s="1328"/>
      <c r="O349" s="1687"/>
      <c r="P349" s="1687"/>
      <c r="Q349" s="1687"/>
      <c r="R349" s="1326"/>
      <c r="S349" s="1327"/>
      <c r="T349" s="1326"/>
      <c r="U349" s="1326"/>
      <c r="V349" s="1329">
        <f t="shared" si="63"/>
        <v>0</v>
      </c>
      <c r="W349" s="1329">
        <f t="shared" si="64"/>
        <v>0</v>
      </c>
      <c r="X349" s="1329">
        <f t="shared" si="65"/>
        <v>0</v>
      </c>
      <c r="Y349" s="1329">
        <f t="shared" si="66"/>
        <v>0</v>
      </c>
      <c r="Z349" s="1329">
        <f t="shared" si="67"/>
        <v>0</v>
      </c>
      <c r="AA349" s="1329">
        <f t="shared" si="68"/>
        <v>0</v>
      </c>
      <c r="AB349" s="1329"/>
      <c r="AC349" s="1329">
        <f t="shared" si="69"/>
        <v>0</v>
      </c>
      <c r="AD349" s="1329"/>
      <c r="AE349" s="1329">
        <f t="shared" si="70"/>
        <v>0</v>
      </c>
      <c r="AF349" s="1329">
        <f t="shared" si="71"/>
        <v>0</v>
      </c>
      <c r="AG349" s="1330">
        <f t="shared" si="72"/>
        <v>0</v>
      </c>
      <c r="AH349" s="1330">
        <f t="shared" si="73"/>
        <v>0</v>
      </c>
    </row>
    <row r="350" spans="2:34">
      <c r="B350" s="1687"/>
      <c r="C350" s="1687"/>
      <c r="D350" s="1687"/>
      <c r="E350" s="2152"/>
      <c r="F350" s="1326"/>
      <c r="G350" s="1327"/>
      <c r="H350" s="1326"/>
      <c r="I350" s="1327"/>
      <c r="J350" s="1687"/>
      <c r="K350" s="1687"/>
      <c r="L350" s="1687"/>
      <c r="M350" s="1328"/>
      <c r="N350" s="1328"/>
      <c r="O350" s="1687"/>
      <c r="P350" s="1687"/>
      <c r="Q350" s="1687"/>
      <c r="R350" s="1326"/>
      <c r="S350" s="1327"/>
      <c r="T350" s="1326"/>
      <c r="U350" s="1326"/>
      <c r="V350" s="1329">
        <f t="shared" si="63"/>
        <v>0</v>
      </c>
      <c r="W350" s="1329">
        <f t="shared" si="64"/>
        <v>0</v>
      </c>
      <c r="X350" s="1329">
        <f t="shared" si="65"/>
        <v>0</v>
      </c>
      <c r="Y350" s="1329">
        <f t="shared" si="66"/>
        <v>0</v>
      </c>
      <c r="Z350" s="1329">
        <f t="shared" si="67"/>
        <v>0</v>
      </c>
      <c r="AA350" s="1329">
        <f t="shared" si="68"/>
        <v>0</v>
      </c>
      <c r="AB350" s="1329"/>
      <c r="AC350" s="1329">
        <f t="shared" si="69"/>
        <v>0</v>
      </c>
      <c r="AD350" s="1329"/>
      <c r="AE350" s="1329">
        <f t="shared" si="70"/>
        <v>0</v>
      </c>
      <c r="AF350" s="1329">
        <f t="shared" si="71"/>
        <v>0</v>
      </c>
      <c r="AG350" s="1330">
        <f t="shared" si="72"/>
        <v>0</v>
      </c>
      <c r="AH350" s="1330">
        <f t="shared" si="73"/>
        <v>0</v>
      </c>
    </row>
    <row r="351" spans="2:34">
      <c r="B351" s="1687"/>
      <c r="C351" s="1687"/>
      <c r="D351" s="1687"/>
      <c r="E351" s="2152"/>
      <c r="F351" s="1326"/>
      <c r="G351" s="1327"/>
      <c r="H351" s="1326"/>
      <c r="I351" s="1327"/>
      <c r="J351" s="1687"/>
      <c r="K351" s="1687"/>
      <c r="L351" s="1687"/>
      <c r="M351" s="1328"/>
      <c r="N351" s="1328"/>
      <c r="O351" s="1687"/>
      <c r="P351" s="1687"/>
      <c r="Q351" s="1687"/>
      <c r="R351" s="1326"/>
      <c r="S351" s="1327"/>
      <c r="T351" s="1326"/>
      <c r="U351" s="1326"/>
      <c r="V351" s="1329">
        <f t="shared" si="63"/>
        <v>0</v>
      </c>
      <c r="W351" s="1329">
        <f t="shared" si="64"/>
        <v>0</v>
      </c>
      <c r="X351" s="1329">
        <f t="shared" si="65"/>
        <v>0</v>
      </c>
      <c r="Y351" s="1329">
        <f t="shared" si="66"/>
        <v>0</v>
      </c>
      <c r="Z351" s="1329">
        <f t="shared" si="67"/>
        <v>0</v>
      </c>
      <c r="AA351" s="1329">
        <f t="shared" si="68"/>
        <v>0</v>
      </c>
      <c r="AB351" s="1329"/>
      <c r="AC351" s="1329">
        <f t="shared" si="69"/>
        <v>0</v>
      </c>
      <c r="AD351" s="1329"/>
      <c r="AE351" s="1329">
        <f t="shared" si="70"/>
        <v>0</v>
      </c>
      <c r="AF351" s="1329">
        <f t="shared" si="71"/>
        <v>0</v>
      </c>
      <c r="AG351" s="1330">
        <f t="shared" si="72"/>
        <v>0</v>
      </c>
      <c r="AH351" s="1330">
        <f t="shared" si="73"/>
        <v>0</v>
      </c>
    </row>
    <row r="352" spans="2:34">
      <c r="B352" s="1687"/>
      <c r="C352" s="1687"/>
      <c r="D352" s="1687"/>
      <c r="E352" s="2152"/>
      <c r="F352" s="1326"/>
      <c r="G352" s="1327"/>
      <c r="H352" s="1326"/>
      <c r="I352" s="1327"/>
      <c r="J352" s="1687"/>
      <c r="K352" s="1687"/>
      <c r="L352" s="1687"/>
      <c r="M352" s="1328"/>
      <c r="N352" s="1328"/>
      <c r="O352" s="1687"/>
      <c r="P352" s="1687"/>
      <c r="Q352" s="1687"/>
      <c r="R352" s="1326"/>
      <c r="S352" s="1327"/>
      <c r="T352" s="1326"/>
      <c r="U352" s="1326"/>
      <c r="V352" s="1329">
        <f t="shared" si="63"/>
        <v>0</v>
      </c>
      <c r="W352" s="1329">
        <f t="shared" si="64"/>
        <v>0</v>
      </c>
      <c r="X352" s="1329">
        <f t="shared" si="65"/>
        <v>0</v>
      </c>
      <c r="Y352" s="1329">
        <f t="shared" si="66"/>
        <v>0</v>
      </c>
      <c r="Z352" s="1329">
        <f t="shared" si="67"/>
        <v>0</v>
      </c>
      <c r="AA352" s="1329">
        <f t="shared" si="68"/>
        <v>0</v>
      </c>
      <c r="AB352" s="1329"/>
      <c r="AC352" s="1329">
        <f t="shared" si="69"/>
        <v>0</v>
      </c>
      <c r="AD352" s="1329"/>
      <c r="AE352" s="1329">
        <f t="shared" si="70"/>
        <v>0</v>
      </c>
      <c r="AF352" s="1329">
        <f t="shared" si="71"/>
        <v>0</v>
      </c>
      <c r="AG352" s="1330">
        <f t="shared" si="72"/>
        <v>0</v>
      </c>
      <c r="AH352" s="1330">
        <f t="shared" si="73"/>
        <v>0</v>
      </c>
    </row>
    <row r="353" spans="2:34">
      <c r="B353" s="1687"/>
      <c r="C353" s="1687"/>
      <c r="D353" s="1687"/>
      <c r="E353" s="2152"/>
      <c r="F353" s="1326"/>
      <c r="G353" s="1327"/>
      <c r="H353" s="1326"/>
      <c r="I353" s="1327"/>
      <c r="J353" s="1687"/>
      <c r="K353" s="1687"/>
      <c r="L353" s="1687"/>
      <c r="M353" s="1328"/>
      <c r="N353" s="1328"/>
      <c r="O353" s="1687"/>
      <c r="P353" s="1687"/>
      <c r="Q353" s="1687"/>
      <c r="R353" s="1326"/>
      <c r="S353" s="1327"/>
      <c r="T353" s="1326"/>
      <c r="U353" s="1326"/>
      <c r="V353" s="1329">
        <f t="shared" si="63"/>
        <v>0</v>
      </c>
      <c r="W353" s="1329">
        <f t="shared" si="64"/>
        <v>0</v>
      </c>
      <c r="X353" s="1329">
        <f t="shared" si="65"/>
        <v>0</v>
      </c>
      <c r="Y353" s="1329">
        <f t="shared" si="66"/>
        <v>0</v>
      </c>
      <c r="Z353" s="1329">
        <f t="shared" si="67"/>
        <v>0</v>
      </c>
      <c r="AA353" s="1329">
        <f t="shared" si="68"/>
        <v>0</v>
      </c>
      <c r="AB353" s="1329"/>
      <c r="AC353" s="1329">
        <f t="shared" si="69"/>
        <v>0</v>
      </c>
      <c r="AD353" s="1329"/>
      <c r="AE353" s="1329">
        <f t="shared" si="70"/>
        <v>0</v>
      </c>
      <c r="AF353" s="1329">
        <f t="shared" si="71"/>
        <v>0</v>
      </c>
      <c r="AG353" s="1330">
        <f t="shared" si="72"/>
        <v>0</v>
      </c>
      <c r="AH353" s="1330">
        <f t="shared" si="73"/>
        <v>0</v>
      </c>
    </row>
    <row r="354" spans="2:34">
      <c r="B354" s="1687"/>
      <c r="C354" s="1687"/>
      <c r="D354" s="1687"/>
      <c r="E354" s="2152"/>
      <c r="F354" s="1326"/>
      <c r="G354" s="1327"/>
      <c r="H354" s="1326"/>
      <c r="I354" s="1327"/>
      <c r="J354" s="1687"/>
      <c r="K354" s="1687"/>
      <c r="L354" s="1687"/>
      <c r="M354" s="1328"/>
      <c r="N354" s="1328"/>
      <c r="O354" s="1687"/>
      <c r="P354" s="1687"/>
      <c r="Q354" s="1687"/>
      <c r="R354" s="1326"/>
      <c r="S354" s="1327"/>
      <c r="T354" s="1326"/>
      <c r="U354" s="1326"/>
      <c r="V354" s="1329">
        <f t="shared" ref="V354:V414" si="74">IF(F354&gt;=0,0,"c50&gt;=0")</f>
        <v>0</v>
      </c>
      <c r="W354" s="1329">
        <f t="shared" ref="W354:W414" si="75">IF(H354&gt;=0,0,"c70&gt;=0")</f>
        <v>0</v>
      </c>
      <c r="X354" s="1329">
        <f t="shared" ref="X354:X414" si="76">IF(M354&lt;=1,0,"c110&lt;=1")</f>
        <v>0</v>
      </c>
      <c r="Y354" s="1329">
        <f t="shared" ref="Y354:Y414" si="77">IF(M354&gt;=0,0,"c110&gt;=0")</f>
        <v>0</v>
      </c>
      <c r="Z354" s="1329">
        <f t="shared" ref="Z354:Z414" si="78">IF(N354&lt;=1,0,"c120&lt;=1")</f>
        <v>0</v>
      </c>
      <c r="AA354" s="1329">
        <f t="shared" ref="AA354:AA414" si="79">IF(N354&gt;=0,0,"c120&gt;=0")</f>
        <v>0</v>
      </c>
      <c r="AB354" s="1329"/>
      <c r="AC354" s="1329">
        <f t="shared" ref="AC354:AC414" si="80">IF(R354&gt;=0,0,"c160&gt;=0")</f>
        <v>0</v>
      </c>
      <c r="AD354" s="1329"/>
      <c r="AE354" s="1329">
        <f t="shared" ref="AE354:AE414" si="81">IF(T354&gt;=0,0,"c180&gt;=0")</f>
        <v>0</v>
      </c>
      <c r="AF354" s="1329">
        <f t="shared" ref="AF354:AF414" si="82">IF(U354&gt;=0,0,"c190&gt;=0")</f>
        <v>0</v>
      </c>
      <c r="AG354" s="1330">
        <f t="shared" si="72"/>
        <v>0</v>
      </c>
      <c r="AH354" s="1330">
        <f t="shared" si="73"/>
        <v>0</v>
      </c>
    </row>
    <row r="355" spans="2:34">
      <c r="B355" s="1687"/>
      <c r="C355" s="1687"/>
      <c r="D355" s="1687"/>
      <c r="E355" s="2152"/>
      <c r="F355" s="1326"/>
      <c r="G355" s="1327"/>
      <c r="H355" s="1326"/>
      <c r="I355" s="1327"/>
      <c r="J355" s="1687"/>
      <c r="K355" s="1687"/>
      <c r="L355" s="1687"/>
      <c r="M355" s="1328"/>
      <c r="N355" s="1328"/>
      <c r="O355" s="1687"/>
      <c r="P355" s="1687"/>
      <c r="Q355" s="1687"/>
      <c r="R355" s="1326"/>
      <c r="S355" s="1327"/>
      <c r="T355" s="1326"/>
      <c r="U355" s="1326"/>
      <c r="V355" s="1329">
        <f t="shared" si="74"/>
        <v>0</v>
      </c>
      <c r="W355" s="1329">
        <f t="shared" si="75"/>
        <v>0</v>
      </c>
      <c r="X355" s="1329">
        <f t="shared" si="76"/>
        <v>0</v>
      </c>
      <c r="Y355" s="1329">
        <f t="shared" si="77"/>
        <v>0</v>
      </c>
      <c r="Z355" s="1329">
        <f t="shared" si="78"/>
        <v>0</v>
      </c>
      <c r="AA355" s="1329">
        <f t="shared" si="79"/>
        <v>0</v>
      </c>
      <c r="AB355" s="1329"/>
      <c r="AC355" s="1329">
        <f t="shared" si="80"/>
        <v>0</v>
      </c>
      <c r="AD355" s="1329"/>
      <c r="AE355" s="1329">
        <f t="shared" si="81"/>
        <v>0</v>
      </c>
      <c r="AF355" s="1329">
        <f t="shared" si="82"/>
        <v>0</v>
      </c>
      <c r="AG355" s="1330">
        <f t="shared" si="72"/>
        <v>0</v>
      </c>
      <c r="AH355" s="1330">
        <f t="shared" si="73"/>
        <v>0</v>
      </c>
    </row>
    <row r="356" spans="2:34">
      <c r="B356" s="1687"/>
      <c r="C356" s="1687"/>
      <c r="D356" s="1687"/>
      <c r="E356" s="2152"/>
      <c r="F356" s="1326"/>
      <c r="G356" s="1327"/>
      <c r="H356" s="1326"/>
      <c r="I356" s="1327"/>
      <c r="J356" s="1687"/>
      <c r="K356" s="1687"/>
      <c r="L356" s="1687"/>
      <c r="M356" s="1328"/>
      <c r="N356" s="1328"/>
      <c r="O356" s="1687"/>
      <c r="P356" s="1687"/>
      <c r="Q356" s="1687"/>
      <c r="R356" s="1326"/>
      <c r="S356" s="1327"/>
      <c r="T356" s="1326"/>
      <c r="U356" s="1326"/>
      <c r="V356" s="1329">
        <f t="shared" si="74"/>
        <v>0</v>
      </c>
      <c r="W356" s="1329">
        <f t="shared" si="75"/>
        <v>0</v>
      </c>
      <c r="X356" s="1329">
        <f t="shared" si="76"/>
        <v>0</v>
      </c>
      <c r="Y356" s="1329">
        <f t="shared" si="77"/>
        <v>0</v>
      </c>
      <c r="Z356" s="1329">
        <f t="shared" si="78"/>
        <v>0</v>
      </c>
      <c r="AA356" s="1329">
        <f t="shared" si="79"/>
        <v>0</v>
      </c>
      <c r="AB356" s="1329"/>
      <c r="AC356" s="1329">
        <f t="shared" si="80"/>
        <v>0</v>
      </c>
      <c r="AD356" s="1329"/>
      <c r="AE356" s="1329">
        <f t="shared" si="81"/>
        <v>0</v>
      </c>
      <c r="AF356" s="1329">
        <f t="shared" si="82"/>
        <v>0</v>
      </c>
      <c r="AG356" s="1330">
        <f t="shared" si="72"/>
        <v>0</v>
      </c>
      <c r="AH356" s="1330">
        <f t="shared" si="73"/>
        <v>0</v>
      </c>
    </row>
    <row r="357" spans="2:34">
      <c r="B357" s="1687"/>
      <c r="C357" s="1687"/>
      <c r="D357" s="1687"/>
      <c r="E357" s="2152"/>
      <c r="F357" s="1326"/>
      <c r="G357" s="1327"/>
      <c r="H357" s="1326"/>
      <c r="I357" s="1327"/>
      <c r="J357" s="1687"/>
      <c r="K357" s="1687"/>
      <c r="L357" s="1687"/>
      <c r="M357" s="1328"/>
      <c r="N357" s="1328"/>
      <c r="O357" s="1687"/>
      <c r="P357" s="1687"/>
      <c r="Q357" s="1687"/>
      <c r="R357" s="1326"/>
      <c r="S357" s="1327"/>
      <c r="T357" s="1326"/>
      <c r="U357" s="1326"/>
      <c r="V357" s="1329">
        <f t="shared" si="74"/>
        <v>0</v>
      </c>
      <c r="W357" s="1329">
        <f t="shared" si="75"/>
        <v>0</v>
      </c>
      <c r="X357" s="1329">
        <f t="shared" si="76"/>
        <v>0</v>
      </c>
      <c r="Y357" s="1329">
        <f t="shared" si="77"/>
        <v>0</v>
      </c>
      <c r="Z357" s="1329">
        <f t="shared" si="78"/>
        <v>0</v>
      </c>
      <c r="AA357" s="1329">
        <f t="shared" si="79"/>
        <v>0</v>
      </c>
      <c r="AB357" s="1329"/>
      <c r="AC357" s="1329">
        <f t="shared" si="80"/>
        <v>0</v>
      </c>
      <c r="AD357" s="1329"/>
      <c r="AE357" s="1329">
        <f t="shared" si="81"/>
        <v>0</v>
      </c>
      <c r="AF357" s="1329">
        <f t="shared" si="82"/>
        <v>0</v>
      </c>
      <c r="AG357" s="1330">
        <f t="shared" si="72"/>
        <v>0</v>
      </c>
      <c r="AH357" s="1330">
        <f t="shared" si="73"/>
        <v>0</v>
      </c>
    </row>
    <row r="358" spans="2:34">
      <c r="B358" s="1687"/>
      <c r="C358" s="1687"/>
      <c r="D358" s="1687"/>
      <c r="E358" s="2152"/>
      <c r="F358" s="1326"/>
      <c r="G358" s="1327"/>
      <c r="H358" s="1326"/>
      <c r="I358" s="1327"/>
      <c r="J358" s="1687"/>
      <c r="K358" s="1687"/>
      <c r="L358" s="1687"/>
      <c r="M358" s="1328"/>
      <c r="N358" s="1328"/>
      <c r="O358" s="1687"/>
      <c r="P358" s="1687"/>
      <c r="Q358" s="1687"/>
      <c r="R358" s="1326"/>
      <c r="S358" s="1327"/>
      <c r="T358" s="1326"/>
      <c r="U358" s="1326"/>
      <c r="V358" s="1329">
        <f t="shared" si="74"/>
        <v>0</v>
      </c>
      <c r="W358" s="1329">
        <f t="shared" si="75"/>
        <v>0</v>
      </c>
      <c r="X358" s="1329">
        <f t="shared" si="76"/>
        <v>0</v>
      </c>
      <c r="Y358" s="1329">
        <f t="shared" si="77"/>
        <v>0</v>
      </c>
      <c r="Z358" s="1329">
        <f t="shared" si="78"/>
        <v>0</v>
      </c>
      <c r="AA358" s="1329">
        <f t="shared" si="79"/>
        <v>0</v>
      </c>
      <c r="AB358" s="1329"/>
      <c r="AC358" s="1329">
        <f t="shared" si="80"/>
        <v>0</v>
      </c>
      <c r="AD358" s="1329"/>
      <c r="AE358" s="1329">
        <f t="shared" si="81"/>
        <v>0</v>
      </c>
      <c r="AF358" s="1329">
        <f t="shared" si="82"/>
        <v>0</v>
      </c>
      <c r="AG358" s="1330">
        <f t="shared" si="72"/>
        <v>0</v>
      </c>
      <c r="AH358" s="1330">
        <f t="shared" si="73"/>
        <v>0</v>
      </c>
    </row>
    <row r="359" spans="2:34">
      <c r="B359" s="1687"/>
      <c r="C359" s="1687"/>
      <c r="D359" s="1687"/>
      <c r="E359" s="2152"/>
      <c r="F359" s="1326"/>
      <c r="G359" s="1327"/>
      <c r="H359" s="1326"/>
      <c r="I359" s="1327"/>
      <c r="J359" s="1687"/>
      <c r="K359" s="1687"/>
      <c r="L359" s="1687"/>
      <c r="M359" s="1328"/>
      <c r="N359" s="1328"/>
      <c r="O359" s="1687"/>
      <c r="P359" s="1687"/>
      <c r="Q359" s="1687"/>
      <c r="R359" s="1326"/>
      <c r="S359" s="1327"/>
      <c r="T359" s="1326"/>
      <c r="U359" s="1326"/>
      <c r="V359" s="1329">
        <f t="shared" si="74"/>
        <v>0</v>
      </c>
      <c r="W359" s="1329">
        <f t="shared" si="75"/>
        <v>0</v>
      </c>
      <c r="X359" s="1329">
        <f t="shared" si="76"/>
        <v>0</v>
      </c>
      <c r="Y359" s="1329">
        <f t="shared" si="77"/>
        <v>0</v>
      </c>
      <c r="Z359" s="1329">
        <f t="shared" si="78"/>
        <v>0</v>
      </c>
      <c r="AA359" s="1329">
        <f t="shared" si="79"/>
        <v>0</v>
      </c>
      <c r="AB359" s="1329"/>
      <c r="AC359" s="1329">
        <f t="shared" si="80"/>
        <v>0</v>
      </c>
      <c r="AD359" s="1329"/>
      <c r="AE359" s="1329">
        <f t="shared" si="81"/>
        <v>0</v>
      </c>
      <c r="AF359" s="1329">
        <f t="shared" si="82"/>
        <v>0</v>
      </c>
      <c r="AG359" s="1330">
        <f t="shared" si="72"/>
        <v>0</v>
      </c>
      <c r="AH359" s="1330">
        <f t="shared" si="73"/>
        <v>0</v>
      </c>
    </row>
    <row r="360" spans="2:34">
      <c r="B360" s="1687"/>
      <c r="C360" s="1687"/>
      <c r="D360" s="1687"/>
      <c r="E360" s="2152"/>
      <c r="F360" s="1326"/>
      <c r="G360" s="1327"/>
      <c r="H360" s="1326"/>
      <c r="I360" s="1327"/>
      <c r="J360" s="1687"/>
      <c r="K360" s="1687"/>
      <c r="L360" s="1687"/>
      <c r="M360" s="1328"/>
      <c r="N360" s="1328"/>
      <c r="O360" s="1687"/>
      <c r="P360" s="1687"/>
      <c r="Q360" s="1687"/>
      <c r="R360" s="1326"/>
      <c r="S360" s="1327"/>
      <c r="T360" s="1326"/>
      <c r="U360" s="1326"/>
      <c r="V360" s="1329">
        <f t="shared" si="74"/>
        <v>0</v>
      </c>
      <c r="W360" s="1329">
        <f t="shared" si="75"/>
        <v>0</v>
      </c>
      <c r="X360" s="1329">
        <f t="shared" si="76"/>
        <v>0</v>
      </c>
      <c r="Y360" s="1329">
        <f t="shared" si="77"/>
        <v>0</v>
      </c>
      <c r="Z360" s="1329">
        <f t="shared" si="78"/>
        <v>0</v>
      </c>
      <c r="AA360" s="1329">
        <f t="shared" si="79"/>
        <v>0</v>
      </c>
      <c r="AB360" s="1329"/>
      <c r="AC360" s="1329">
        <f t="shared" si="80"/>
        <v>0</v>
      </c>
      <c r="AD360" s="1329"/>
      <c r="AE360" s="1329">
        <f t="shared" si="81"/>
        <v>0</v>
      </c>
      <c r="AF360" s="1329">
        <f t="shared" si="82"/>
        <v>0</v>
      </c>
      <c r="AG360" s="1330">
        <f t="shared" si="72"/>
        <v>0</v>
      </c>
      <c r="AH360" s="1330">
        <f t="shared" si="73"/>
        <v>0</v>
      </c>
    </row>
    <row r="361" spans="2:34">
      <c r="B361" s="1687"/>
      <c r="C361" s="1687"/>
      <c r="D361" s="1687"/>
      <c r="E361" s="2152"/>
      <c r="F361" s="1326"/>
      <c r="G361" s="1327"/>
      <c r="H361" s="1326"/>
      <c r="I361" s="1327"/>
      <c r="J361" s="1687"/>
      <c r="K361" s="1687"/>
      <c r="L361" s="1687"/>
      <c r="M361" s="1328"/>
      <c r="N361" s="1328"/>
      <c r="O361" s="1687"/>
      <c r="P361" s="1687"/>
      <c r="Q361" s="1687"/>
      <c r="R361" s="1326"/>
      <c r="S361" s="1327"/>
      <c r="T361" s="1326"/>
      <c r="U361" s="1326"/>
      <c r="V361" s="1329">
        <f t="shared" si="74"/>
        <v>0</v>
      </c>
      <c r="W361" s="1329">
        <f t="shared" si="75"/>
        <v>0</v>
      </c>
      <c r="X361" s="1329">
        <f t="shared" si="76"/>
        <v>0</v>
      </c>
      <c r="Y361" s="1329">
        <f t="shared" si="77"/>
        <v>0</v>
      </c>
      <c r="Z361" s="1329">
        <f t="shared" si="78"/>
        <v>0</v>
      </c>
      <c r="AA361" s="1329">
        <f t="shared" si="79"/>
        <v>0</v>
      </c>
      <c r="AB361" s="1329"/>
      <c r="AC361" s="1329">
        <f t="shared" si="80"/>
        <v>0</v>
      </c>
      <c r="AD361" s="1329"/>
      <c r="AE361" s="1329">
        <f t="shared" si="81"/>
        <v>0</v>
      </c>
      <c r="AF361" s="1329">
        <f t="shared" si="82"/>
        <v>0</v>
      </c>
      <c r="AG361" s="1330">
        <f t="shared" si="72"/>
        <v>0</v>
      </c>
      <c r="AH361" s="1330">
        <f t="shared" si="73"/>
        <v>0</v>
      </c>
    </row>
    <row r="362" spans="2:34">
      <c r="B362" s="1687"/>
      <c r="C362" s="1687"/>
      <c r="D362" s="1687"/>
      <c r="E362" s="2152"/>
      <c r="F362" s="1326"/>
      <c r="G362" s="1327"/>
      <c r="H362" s="1326"/>
      <c r="I362" s="1327"/>
      <c r="J362" s="1687"/>
      <c r="K362" s="1687"/>
      <c r="L362" s="1687"/>
      <c r="M362" s="1328"/>
      <c r="N362" s="1328"/>
      <c r="O362" s="1687"/>
      <c r="P362" s="1687"/>
      <c r="Q362" s="1687"/>
      <c r="R362" s="1326"/>
      <c r="S362" s="1327"/>
      <c r="T362" s="1326"/>
      <c r="U362" s="1326"/>
      <c r="V362" s="1329">
        <f t="shared" si="74"/>
        <v>0</v>
      </c>
      <c r="W362" s="1329">
        <f t="shared" si="75"/>
        <v>0</v>
      </c>
      <c r="X362" s="1329">
        <f t="shared" si="76"/>
        <v>0</v>
      </c>
      <c r="Y362" s="1329">
        <f t="shared" si="77"/>
        <v>0</v>
      </c>
      <c r="Z362" s="1329">
        <f t="shared" si="78"/>
        <v>0</v>
      </c>
      <c r="AA362" s="1329">
        <f t="shared" si="79"/>
        <v>0</v>
      </c>
      <c r="AB362" s="1329"/>
      <c r="AC362" s="1329">
        <f t="shared" si="80"/>
        <v>0</v>
      </c>
      <c r="AD362" s="1329"/>
      <c r="AE362" s="1329">
        <f t="shared" si="81"/>
        <v>0</v>
      </c>
      <c r="AF362" s="1329">
        <f t="shared" si="82"/>
        <v>0</v>
      </c>
      <c r="AG362" s="1330">
        <f t="shared" si="72"/>
        <v>0</v>
      </c>
      <c r="AH362" s="1330">
        <f t="shared" si="73"/>
        <v>0</v>
      </c>
    </row>
    <row r="363" spans="2:34">
      <c r="B363" s="1687"/>
      <c r="C363" s="1687"/>
      <c r="D363" s="1687"/>
      <c r="E363" s="2152"/>
      <c r="F363" s="1326"/>
      <c r="G363" s="1327"/>
      <c r="H363" s="1326"/>
      <c r="I363" s="1327"/>
      <c r="J363" s="1687"/>
      <c r="K363" s="1687"/>
      <c r="L363" s="1687"/>
      <c r="M363" s="1328"/>
      <c r="N363" s="1328"/>
      <c r="O363" s="1687"/>
      <c r="P363" s="1687"/>
      <c r="Q363" s="1687"/>
      <c r="R363" s="1326"/>
      <c r="S363" s="1327"/>
      <c r="T363" s="1326"/>
      <c r="U363" s="1326"/>
      <c r="V363" s="1329">
        <f t="shared" si="74"/>
        <v>0</v>
      </c>
      <c r="W363" s="1329">
        <f t="shared" si="75"/>
        <v>0</v>
      </c>
      <c r="X363" s="1329">
        <f t="shared" si="76"/>
        <v>0</v>
      </c>
      <c r="Y363" s="1329">
        <f t="shared" si="77"/>
        <v>0</v>
      </c>
      <c r="Z363" s="1329">
        <f t="shared" si="78"/>
        <v>0</v>
      </c>
      <c r="AA363" s="1329">
        <f t="shared" si="79"/>
        <v>0</v>
      </c>
      <c r="AB363" s="1329"/>
      <c r="AC363" s="1329">
        <f t="shared" si="80"/>
        <v>0</v>
      </c>
      <c r="AD363" s="1329"/>
      <c r="AE363" s="1329">
        <f t="shared" si="81"/>
        <v>0</v>
      </c>
      <c r="AF363" s="1329">
        <f t="shared" si="82"/>
        <v>0</v>
      </c>
      <c r="AG363" s="1330">
        <f t="shared" si="72"/>
        <v>0</v>
      </c>
      <c r="AH363" s="1330">
        <f t="shared" si="73"/>
        <v>0</v>
      </c>
    </row>
    <row r="364" spans="2:34">
      <c r="B364" s="1687"/>
      <c r="C364" s="1687"/>
      <c r="D364" s="1687"/>
      <c r="E364" s="2152"/>
      <c r="F364" s="1326"/>
      <c r="G364" s="1327"/>
      <c r="H364" s="1326"/>
      <c r="I364" s="1327"/>
      <c r="J364" s="1687"/>
      <c r="K364" s="1687"/>
      <c r="L364" s="1687"/>
      <c r="M364" s="1328"/>
      <c r="N364" s="1328"/>
      <c r="O364" s="1687"/>
      <c r="P364" s="1687"/>
      <c r="Q364" s="1687"/>
      <c r="R364" s="1326"/>
      <c r="S364" s="1327"/>
      <c r="T364" s="1326"/>
      <c r="U364" s="1326"/>
      <c r="V364" s="1329">
        <f t="shared" si="74"/>
        <v>0</v>
      </c>
      <c r="W364" s="1329">
        <f t="shared" si="75"/>
        <v>0</v>
      </c>
      <c r="X364" s="1329">
        <f t="shared" si="76"/>
        <v>0</v>
      </c>
      <c r="Y364" s="1329">
        <f t="shared" si="77"/>
        <v>0</v>
      </c>
      <c r="Z364" s="1329">
        <f t="shared" si="78"/>
        <v>0</v>
      </c>
      <c r="AA364" s="1329">
        <f t="shared" si="79"/>
        <v>0</v>
      </c>
      <c r="AB364" s="1329"/>
      <c r="AC364" s="1329">
        <f t="shared" si="80"/>
        <v>0</v>
      </c>
      <c r="AD364" s="1329"/>
      <c r="AE364" s="1329">
        <f t="shared" si="81"/>
        <v>0</v>
      </c>
      <c r="AF364" s="1329">
        <f t="shared" si="82"/>
        <v>0</v>
      </c>
      <c r="AG364" s="1330">
        <f t="shared" si="72"/>
        <v>0</v>
      </c>
      <c r="AH364" s="1330">
        <f t="shared" si="73"/>
        <v>0</v>
      </c>
    </row>
    <row r="365" spans="2:34">
      <c r="B365" s="1687"/>
      <c r="C365" s="1687"/>
      <c r="D365" s="1687"/>
      <c r="E365" s="2152"/>
      <c r="F365" s="1326"/>
      <c r="G365" s="1327"/>
      <c r="H365" s="1326"/>
      <c r="I365" s="1327"/>
      <c r="J365" s="1687"/>
      <c r="K365" s="1687"/>
      <c r="L365" s="1687"/>
      <c r="M365" s="1328"/>
      <c r="N365" s="1328"/>
      <c r="O365" s="1687"/>
      <c r="P365" s="1687"/>
      <c r="Q365" s="1687"/>
      <c r="R365" s="1326"/>
      <c r="S365" s="1327"/>
      <c r="T365" s="1326"/>
      <c r="U365" s="1326"/>
      <c r="V365" s="1329">
        <f t="shared" si="74"/>
        <v>0</v>
      </c>
      <c r="W365" s="1329">
        <f t="shared" si="75"/>
        <v>0</v>
      </c>
      <c r="X365" s="1329">
        <f t="shared" si="76"/>
        <v>0</v>
      </c>
      <c r="Y365" s="1329">
        <f t="shared" si="77"/>
        <v>0</v>
      </c>
      <c r="Z365" s="1329">
        <f t="shared" si="78"/>
        <v>0</v>
      </c>
      <c r="AA365" s="1329">
        <f t="shared" si="79"/>
        <v>0</v>
      </c>
      <c r="AB365" s="1329"/>
      <c r="AC365" s="1329">
        <f t="shared" si="80"/>
        <v>0</v>
      </c>
      <c r="AD365" s="1329"/>
      <c r="AE365" s="1329">
        <f t="shared" si="81"/>
        <v>0</v>
      </c>
      <c r="AF365" s="1329">
        <f t="shared" si="82"/>
        <v>0</v>
      </c>
      <c r="AG365" s="1330">
        <f t="shared" si="72"/>
        <v>0</v>
      </c>
      <c r="AH365" s="1330">
        <f t="shared" si="73"/>
        <v>0</v>
      </c>
    </row>
    <row r="366" spans="2:34">
      <c r="B366" s="1687"/>
      <c r="C366" s="1687"/>
      <c r="D366" s="1687"/>
      <c r="E366" s="2152"/>
      <c r="F366" s="1326"/>
      <c r="G366" s="1327"/>
      <c r="H366" s="1326"/>
      <c r="I366" s="1327"/>
      <c r="J366" s="1687"/>
      <c r="K366" s="1687"/>
      <c r="L366" s="1687"/>
      <c r="M366" s="1328"/>
      <c r="N366" s="1328"/>
      <c r="O366" s="1687"/>
      <c r="P366" s="1687"/>
      <c r="Q366" s="1687"/>
      <c r="R366" s="1326"/>
      <c r="S366" s="1327"/>
      <c r="T366" s="1326"/>
      <c r="U366" s="1326"/>
      <c r="V366" s="1329">
        <f t="shared" si="74"/>
        <v>0</v>
      </c>
      <c r="W366" s="1329">
        <f t="shared" si="75"/>
        <v>0</v>
      </c>
      <c r="X366" s="1329">
        <f t="shared" si="76"/>
        <v>0</v>
      </c>
      <c r="Y366" s="1329">
        <f t="shared" si="77"/>
        <v>0</v>
      </c>
      <c r="Z366" s="1329">
        <f t="shared" si="78"/>
        <v>0</v>
      </c>
      <c r="AA366" s="1329">
        <f t="shared" si="79"/>
        <v>0</v>
      </c>
      <c r="AB366" s="1329"/>
      <c r="AC366" s="1329">
        <f t="shared" si="80"/>
        <v>0</v>
      </c>
      <c r="AD366" s="1329"/>
      <c r="AE366" s="1329">
        <f t="shared" si="81"/>
        <v>0</v>
      </c>
      <c r="AF366" s="1329">
        <f t="shared" si="82"/>
        <v>0</v>
      </c>
      <c r="AG366" s="1330">
        <f t="shared" si="72"/>
        <v>0</v>
      </c>
      <c r="AH366" s="1330">
        <f t="shared" si="73"/>
        <v>0</v>
      </c>
    </row>
    <row r="367" spans="2:34">
      <c r="B367" s="1687"/>
      <c r="C367" s="1687"/>
      <c r="D367" s="1687"/>
      <c r="E367" s="2152"/>
      <c r="F367" s="1326"/>
      <c r="G367" s="1327"/>
      <c r="H367" s="1326"/>
      <c r="I367" s="1327"/>
      <c r="J367" s="1687"/>
      <c r="K367" s="1687"/>
      <c r="L367" s="1687"/>
      <c r="M367" s="1328"/>
      <c r="N367" s="1328"/>
      <c r="O367" s="1687"/>
      <c r="P367" s="1687"/>
      <c r="Q367" s="1687"/>
      <c r="R367" s="1326"/>
      <c r="S367" s="1327"/>
      <c r="T367" s="1326"/>
      <c r="U367" s="1326"/>
      <c r="V367" s="1329">
        <f t="shared" si="74"/>
        <v>0</v>
      </c>
      <c r="W367" s="1329">
        <f t="shared" si="75"/>
        <v>0</v>
      </c>
      <c r="X367" s="1329">
        <f t="shared" si="76"/>
        <v>0</v>
      </c>
      <c r="Y367" s="1329">
        <f t="shared" si="77"/>
        <v>0</v>
      </c>
      <c r="Z367" s="1329">
        <f t="shared" si="78"/>
        <v>0</v>
      </c>
      <c r="AA367" s="1329">
        <f t="shared" si="79"/>
        <v>0</v>
      </c>
      <c r="AB367" s="1329"/>
      <c r="AC367" s="1329">
        <f t="shared" si="80"/>
        <v>0</v>
      </c>
      <c r="AD367" s="1329"/>
      <c r="AE367" s="1329">
        <f t="shared" si="81"/>
        <v>0</v>
      </c>
      <c r="AF367" s="1329">
        <f t="shared" si="82"/>
        <v>0</v>
      </c>
      <c r="AG367" s="1330">
        <f t="shared" si="72"/>
        <v>0</v>
      </c>
      <c r="AH367" s="1330">
        <f t="shared" si="73"/>
        <v>0</v>
      </c>
    </row>
    <row r="368" spans="2:34">
      <c r="B368" s="1687"/>
      <c r="C368" s="1687"/>
      <c r="D368" s="1687"/>
      <c r="E368" s="2152"/>
      <c r="F368" s="1326"/>
      <c r="G368" s="1327"/>
      <c r="H368" s="1326"/>
      <c r="I368" s="1327"/>
      <c r="J368" s="1687"/>
      <c r="K368" s="1687"/>
      <c r="L368" s="1687"/>
      <c r="M368" s="1328"/>
      <c r="N368" s="1328"/>
      <c r="O368" s="1687"/>
      <c r="P368" s="1687"/>
      <c r="Q368" s="1687"/>
      <c r="R368" s="1326"/>
      <c r="S368" s="1327"/>
      <c r="T368" s="1326"/>
      <c r="U368" s="1326"/>
      <c r="V368" s="1329">
        <f t="shared" si="74"/>
        <v>0</v>
      </c>
      <c r="W368" s="1329">
        <f t="shared" si="75"/>
        <v>0</v>
      </c>
      <c r="X368" s="1329">
        <f t="shared" si="76"/>
        <v>0</v>
      </c>
      <c r="Y368" s="1329">
        <f t="shared" si="77"/>
        <v>0</v>
      </c>
      <c r="Z368" s="1329">
        <f t="shared" si="78"/>
        <v>0</v>
      </c>
      <c r="AA368" s="1329">
        <f t="shared" si="79"/>
        <v>0</v>
      </c>
      <c r="AB368" s="1329"/>
      <c r="AC368" s="1329">
        <f t="shared" si="80"/>
        <v>0</v>
      </c>
      <c r="AD368" s="1329"/>
      <c r="AE368" s="1329">
        <f t="shared" si="81"/>
        <v>0</v>
      </c>
      <c r="AF368" s="1329">
        <f t="shared" si="82"/>
        <v>0</v>
      </c>
      <c r="AG368" s="1330">
        <f t="shared" si="72"/>
        <v>0</v>
      </c>
      <c r="AH368" s="1330">
        <f t="shared" si="73"/>
        <v>0</v>
      </c>
    </row>
    <row r="369" spans="2:34">
      <c r="B369" s="1687"/>
      <c r="C369" s="1687"/>
      <c r="D369" s="1687"/>
      <c r="E369" s="2152"/>
      <c r="F369" s="1326"/>
      <c r="G369" s="1327"/>
      <c r="H369" s="1326"/>
      <c r="I369" s="1327"/>
      <c r="J369" s="1687"/>
      <c r="K369" s="1687"/>
      <c r="L369" s="1687"/>
      <c r="M369" s="1328"/>
      <c r="N369" s="1328"/>
      <c r="O369" s="1687"/>
      <c r="P369" s="1687"/>
      <c r="Q369" s="1687"/>
      <c r="R369" s="1326"/>
      <c r="S369" s="1327"/>
      <c r="T369" s="1326"/>
      <c r="U369" s="1326"/>
      <c r="V369" s="1329">
        <f t="shared" si="74"/>
        <v>0</v>
      </c>
      <c r="W369" s="1329">
        <f t="shared" si="75"/>
        <v>0</v>
      </c>
      <c r="X369" s="1329">
        <f t="shared" si="76"/>
        <v>0</v>
      </c>
      <c r="Y369" s="1329">
        <f t="shared" si="77"/>
        <v>0</v>
      </c>
      <c r="Z369" s="1329">
        <f t="shared" si="78"/>
        <v>0</v>
      </c>
      <c r="AA369" s="1329">
        <f t="shared" si="79"/>
        <v>0</v>
      </c>
      <c r="AB369" s="1329"/>
      <c r="AC369" s="1329">
        <f t="shared" si="80"/>
        <v>0</v>
      </c>
      <c r="AD369" s="1329"/>
      <c r="AE369" s="1329">
        <f t="shared" si="81"/>
        <v>0</v>
      </c>
      <c r="AF369" s="1329">
        <f t="shared" si="82"/>
        <v>0</v>
      </c>
      <c r="AG369" s="1330">
        <f t="shared" si="72"/>
        <v>0</v>
      </c>
      <c r="AH369" s="1330">
        <f t="shared" si="73"/>
        <v>0</v>
      </c>
    </row>
    <row r="370" spans="2:34">
      <c r="B370" s="1687"/>
      <c r="C370" s="1687"/>
      <c r="D370" s="1687"/>
      <c r="E370" s="2152"/>
      <c r="F370" s="1326"/>
      <c r="G370" s="1327"/>
      <c r="H370" s="1326"/>
      <c r="I370" s="1327"/>
      <c r="J370" s="1687"/>
      <c r="K370" s="1687"/>
      <c r="L370" s="1687"/>
      <c r="M370" s="1328"/>
      <c r="N370" s="1328"/>
      <c r="O370" s="1687"/>
      <c r="P370" s="1687"/>
      <c r="Q370" s="1687"/>
      <c r="R370" s="1326"/>
      <c r="S370" s="1327"/>
      <c r="T370" s="1326"/>
      <c r="U370" s="1326"/>
      <c r="V370" s="1329">
        <f t="shared" si="74"/>
        <v>0</v>
      </c>
      <c r="W370" s="1329">
        <f t="shared" si="75"/>
        <v>0</v>
      </c>
      <c r="X370" s="1329">
        <f t="shared" si="76"/>
        <v>0</v>
      </c>
      <c r="Y370" s="1329">
        <f t="shared" si="77"/>
        <v>0</v>
      </c>
      <c r="Z370" s="1329">
        <f t="shared" si="78"/>
        <v>0</v>
      </c>
      <c r="AA370" s="1329">
        <f t="shared" si="79"/>
        <v>0</v>
      </c>
      <c r="AB370" s="1329"/>
      <c r="AC370" s="1329">
        <f t="shared" si="80"/>
        <v>0</v>
      </c>
      <c r="AD370" s="1329"/>
      <c r="AE370" s="1329">
        <f t="shared" si="81"/>
        <v>0</v>
      </c>
      <c r="AF370" s="1329">
        <f t="shared" si="82"/>
        <v>0</v>
      </c>
      <c r="AG370" s="1330">
        <f t="shared" si="72"/>
        <v>0</v>
      </c>
      <c r="AH370" s="1330">
        <f t="shared" si="73"/>
        <v>0</v>
      </c>
    </row>
    <row r="371" spans="2:34">
      <c r="B371" s="1687"/>
      <c r="C371" s="1687"/>
      <c r="D371" s="1687"/>
      <c r="E371" s="2152"/>
      <c r="F371" s="1326"/>
      <c r="G371" s="1327"/>
      <c r="H371" s="1326"/>
      <c r="I371" s="1327"/>
      <c r="J371" s="1687"/>
      <c r="K371" s="1687"/>
      <c r="L371" s="1687"/>
      <c r="M371" s="1328"/>
      <c r="N371" s="1328"/>
      <c r="O371" s="1687"/>
      <c r="P371" s="1687"/>
      <c r="Q371" s="1687"/>
      <c r="R371" s="1326"/>
      <c r="S371" s="1327"/>
      <c r="T371" s="1326"/>
      <c r="U371" s="1326"/>
      <c r="V371" s="1329">
        <f t="shared" si="74"/>
        <v>0</v>
      </c>
      <c r="W371" s="1329">
        <f t="shared" si="75"/>
        <v>0</v>
      </c>
      <c r="X371" s="1329">
        <f t="shared" si="76"/>
        <v>0</v>
      </c>
      <c r="Y371" s="1329">
        <f t="shared" si="77"/>
        <v>0</v>
      </c>
      <c r="Z371" s="1329">
        <f t="shared" si="78"/>
        <v>0</v>
      </c>
      <c r="AA371" s="1329">
        <f t="shared" si="79"/>
        <v>0</v>
      </c>
      <c r="AB371" s="1329"/>
      <c r="AC371" s="1329">
        <f t="shared" si="80"/>
        <v>0</v>
      </c>
      <c r="AD371" s="1329"/>
      <c r="AE371" s="1329">
        <f t="shared" si="81"/>
        <v>0</v>
      </c>
      <c r="AF371" s="1329">
        <f t="shared" si="82"/>
        <v>0</v>
      </c>
      <c r="AG371" s="1330">
        <f t="shared" si="72"/>
        <v>0</v>
      </c>
      <c r="AH371" s="1330">
        <f t="shared" si="73"/>
        <v>0</v>
      </c>
    </row>
    <row r="372" spans="2:34">
      <c r="B372" s="1687"/>
      <c r="C372" s="1687"/>
      <c r="D372" s="1687"/>
      <c r="E372" s="2152"/>
      <c r="F372" s="1326"/>
      <c r="G372" s="1327"/>
      <c r="H372" s="1326"/>
      <c r="I372" s="1327"/>
      <c r="J372" s="1687"/>
      <c r="K372" s="1687"/>
      <c r="L372" s="1687"/>
      <c r="M372" s="1328"/>
      <c r="N372" s="1328"/>
      <c r="O372" s="1687"/>
      <c r="P372" s="1687"/>
      <c r="Q372" s="1687"/>
      <c r="R372" s="1326"/>
      <c r="S372" s="1327"/>
      <c r="T372" s="1326"/>
      <c r="U372" s="1326"/>
      <c r="V372" s="1329">
        <f t="shared" si="74"/>
        <v>0</v>
      </c>
      <c r="W372" s="1329">
        <f t="shared" si="75"/>
        <v>0</v>
      </c>
      <c r="X372" s="1329">
        <f t="shared" si="76"/>
        <v>0</v>
      </c>
      <c r="Y372" s="1329">
        <f t="shared" si="77"/>
        <v>0</v>
      </c>
      <c r="Z372" s="1329">
        <f t="shared" si="78"/>
        <v>0</v>
      </c>
      <c r="AA372" s="1329">
        <f t="shared" si="79"/>
        <v>0</v>
      </c>
      <c r="AB372" s="1329"/>
      <c r="AC372" s="1329">
        <f t="shared" si="80"/>
        <v>0</v>
      </c>
      <c r="AD372" s="1329"/>
      <c r="AE372" s="1329">
        <f t="shared" si="81"/>
        <v>0</v>
      </c>
      <c r="AF372" s="1329">
        <f t="shared" si="82"/>
        <v>0</v>
      </c>
      <c r="AG372" s="1330">
        <f t="shared" si="72"/>
        <v>0</v>
      </c>
      <c r="AH372" s="1330">
        <f t="shared" si="73"/>
        <v>0</v>
      </c>
    </row>
    <row r="373" spans="2:34">
      <c r="B373" s="1687"/>
      <c r="C373" s="1687"/>
      <c r="D373" s="1687"/>
      <c r="E373" s="2152"/>
      <c r="F373" s="1326"/>
      <c r="G373" s="1327"/>
      <c r="H373" s="1326"/>
      <c r="I373" s="1327"/>
      <c r="J373" s="1687"/>
      <c r="K373" s="1687"/>
      <c r="L373" s="1687"/>
      <c r="M373" s="1328"/>
      <c r="N373" s="1328"/>
      <c r="O373" s="1687"/>
      <c r="P373" s="1687"/>
      <c r="Q373" s="1687"/>
      <c r="R373" s="1326"/>
      <c r="S373" s="1327"/>
      <c r="T373" s="1326"/>
      <c r="U373" s="1326"/>
      <c r="V373" s="1329">
        <f t="shared" si="74"/>
        <v>0</v>
      </c>
      <c r="W373" s="1329">
        <f t="shared" si="75"/>
        <v>0</v>
      </c>
      <c r="X373" s="1329">
        <f t="shared" si="76"/>
        <v>0</v>
      </c>
      <c r="Y373" s="1329">
        <f t="shared" si="77"/>
        <v>0</v>
      </c>
      <c r="Z373" s="1329">
        <f t="shared" si="78"/>
        <v>0</v>
      </c>
      <c r="AA373" s="1329">
        <f t="shared" si="79"/>
        <v>0</v>
      </c>
      <c r="AB373" s="1329"/>
      <c r="AC373" s="1329">
        <f t="shared" si="80"/>
        <v>0</v>
      </c>
      <c r="AD373" s="1329"/>
      <c r="AE373" s="1329">
        <f t="shared" si="81"/>
        <v>0</v>
      </c>
      <c r="AF373" s="1329">
        <f t="shared" si="82"/>
        <v>0</v>
      </c>
      <c r="AG373" s="1330">
        <f t="shared" si="72"/>
        <v>0</v>
      </c>
      <c r="AH373" s="1330">
        <f t="shared" si="73"/>
        <v>0</v>
      </c>
    </row>
    <row r="374" spans="2:34">
      <c r="B374" s="1687"/>
      <c r="C374" s="1687"/>
      <c r="D374" s="1687"/>
      <c r="E374" s="2152"/>
      <c r="F374" s="1326"/>
      <c r="G374" s="1327"/>
      <c r="H374" s="1326"/>
      <c r="I374" s="1327"/>
      <c r="J374" s="1687"/>
      <c r="K374" s="1687"/>
      <c r="L374" s="1687"/>
      <c r="M374" s="1328"/>
      <c r="N374" s="1328"/>
      <c r="O374" s="1687"/>
      <c r="P374" s="1687"/>
      <c r="Q374" s="1687"/>
      <c r="R374" s="1326"/>
      <c r="S374" s="1327"/>
      <c r="T374" s="1326"/>
      <c r="U374" s="1326"/>
      <c r="V374" s="1329">
        <f t="shared" si="74"/>
        <v>0</v>
      </c>
      <c r="W374" s="1329">
        <f t="shared" si="75"/>
        <v>0</v>
      </c>
      <c r="X374" s="1329">
        <f t="shared" si="76"/>
        <v>0</v>
      </c>
      <c r="Y374" s="1329">
        <f t="shared" si="77"/>
        <v>0</v>
      </c>
      <c r="Z374" s="1329">
        <f t="shared" si="78"/>
        <v>0</v>
      </c>
      <c r="AA374" s="1329">
        <f t="shared" si="79"/>
        <v>0</v>
      </c>
      <c r="AB374" s="1329"/>
      <c r="AC374" s="1329">
        <f t="shared" si="80"/>
        <v>0</v>
      </c>
      <c r="AD374" s="1329"/>
      <c r="AE374" s="1329">
        <f t="shared" si="81"/>
        <v>0</v>
      </c>
      <c r="AF374" s="1329">
        <f t="shared" si="82"/>
        <v>0</v>
      </c>
      <c r="AG374" s="1330">
        <f t="shared" si="72"/>
        <v>0</v>
      </c>
      <c r="AH374" s="1330">
        <f t="shared" si="73"/>
        <v>0</v>
      </c>
    </row>
    <row r="375" spans="2:34">
      <c r="B375" s="1687"/>
      <c r="C375" s="1687"/>
      <c r="D375" s="1687"/>
      <c r="E375" s="2152"/>
      <c r="F375" s="1326"/>
      <c r="G375" s="1327"/>
      <c r="H375" s="1326"/>
      <c r="I375" s="1327"/>
      <c r="J375" s="1687"/>
      <c r="K375" s="1687"/>
      <c r="L375" s="1687"/>
      <c r="M375" s="1328"/>
      <c r="N375" s="1328"/>
      <c r="O375" s="1687"/>
      <c r="P375" s="1687"/>
      <c r="Q375" s="1687"/>
      <c r="R375" s="1326"/>
      <c r="S375" s="1327"/>
      <c r="T375" s="1326"/>
      <c r="U375" s="1326"/>
      <c r="V375" s="1329">
        <f t="shared" si="74"/>
        <v>0</v>
      </c>
      <c r="W375" s="1329">
        <f t="shared" si="75"/>
        <v>0</v>
      </c>
      <c r="X375" s="1329">
        <f t="shared" si="76"/>
        <v>0</v>
      </c>
      <c r="Y375" s="1329">
        <f t="shared" si="77"/>
        <v>0</v>
      </c>
      <c r="Z375" s="1329">
        <f t="shared" si="78"/>
        <v>0</v>
      </c>
      <c r="AA375" s="1329">
        <f t="shared" si="79"/>
        <v>0</v>
      </c>
      <c r="AB375" s="1329"/>
      <c r="AC375" s="1329">
        <f t="shared" si="80"/>
        <v>0</v>
      </c>
      <c r="AD375" s="1329"/>
      <c r="AE375" s="1329">
        <f t="shared" si="81"/>
        <v>0</v>
      </c>
      <c r="AF375" s="1329">
        <f t="shared" si="82"/>
        <v>0</v>
      </c>
      <c r="AG375" s="1330">
        <f t="shared" si="72"/>
        <v>0</v>
      </c>
      <c r="AH375" s="1330">
        <f t="shared" si="73"/>
        <v>0</v>
      </c>
    </row>
    <row r="376" spans="2:34">
      <c r="B376" s="1687"/>
      <c r="C376" s="1687"/>
      <c r="D376" s="1687"/>
      <c r="E376" s="2152"/>
      <c r="F376" s="1326"/>
      <c r="G376" s="1327"/>
      <c r="H376" s="1326"/>
      <c r="I376" s="1327"/>
      <c r="J376" s="1687"/>
      <c r="K376" s="1687"/>
      <c r="L376" s="1687"/>
      <c r="M376" s="1328"/>
      <c r="N376" s="1328"/>
      <c r="O376" s="1687"/>
      <c r="P376" s="1687"/>
      <c r="Q376" s="1687"/>
      <c r="R376" s="1326"/>
      <c r="S376" s="1327"/>
      <c r="T376" s="1326"/>
      <c r="U376" s="1326"/>
      <c r="V376" s="1329">
        <f t="shared" si="74"/>
        <v>0</v>
      </c>
      <c r="W376" s="1329">
        <f t="shared" si="75"/>
        <v>0</v>
      </c>
      <c r="X376" s="1329">
        <f t="shared" si="76"/>
        <v>0</v>
      </c>
      <c r="Y376" s="1329">
        <f t="shared" si="77"/>
        <v>0</v>
      </c>
      <c r="Z376" s="1329">
        <f t="shared" si="78"/>
        <v>0</v>
      </c>
      <c r="AA376" s="1329">
        <f t="shared" si="79"/>
        <v>0</v>
      </c>
      <c r="AB376" s="1329"/>
      <c r="AC376" s="1329">
        <f t="shared" si="80"/>
        <v>0</v>
      </c>
      <c r="AD376" s="1329"/>
      <c r="AE376" s="1329">
        <f t="shared" si="81"/>
        <v>0</v>
      </c>
      <c r="AF376" s="1329">
        <f t="shared" si="82"/>
        <v>0</v>
      </c>
      <c r="AG376" s="1330">
        <f t="shared" si="72"/>
        <v>0</v>
      </c>
      <c r="AH376" s="1330">
        <f t="shared" si="73"/>
        <v>0</v>
      </c>
    </row>
    <row r="377" spans="2:34">
      <c r="B377" s="1687"/>
      <c r="C377" s="1687"/>
      <c r="D377" s="1687"/>
      <c r="E377" s="2152"/>
      <c r="F377" s="1326"/>
      <c r="G377" s="1327"/>
      <c r="H377" s="1326"/>
      <c r="I377" s="1327"/>
      <c r="J377" s="1687"/>
      <c r="K377" s="1687"/>
      <c r="L377" s="1687"/>
      <c r="M377" s="1328"/>
      <c r="N377" s="1328"/>
      <c r="O377" s="1687"/>
      <c r="P377" s="1687"/>
      <c r="Q377" s="1687"/>
      <c r="R377" s="1326"/>
      <c r="S377" s="1327"/>
      <c r="T377" s="1326"/>
      <c r="U377" s="1326"/>
      <c r="V377" s="1329">
        <f t="shared" si="74"/>
        <v>0</v>
      </c>
      <c r="W377" s="1329">
        <f t="shared" si="75"/>
        <v>0</v>
      </c>
      <c r="X377" s="1329">
        <f t="shared" si="76"/>
        <v>0</v>
      </c>
      <c r="Y377" s="1329">
        <f t="shared" si="77"/>
        <v>0</v>
      </c>
      <c r="Z377" s="1329">
        <f t="shared" si="78"/>
        <v>0</v>
      </c>
      <c r="AA377" s="1329">
        <f t="shared" si="79"/>
        <v>0</v>
      </c>
      <c r="AB377" s="1329"/>
      <c r="AC377" s="1329">
        <f t="shared" si="80"/>
        <v>0</v>
      </c>
      <c r="AD377" s="1329"/>
      <c r="AE377" s="1329">
        <f t="shared" si="81"/>
        <v>0</v>
      </c>
      <c r="AF377" s="1329">
        <f t="shared" si="82"/>
        <v>0</v>
      </c>
      <c r="AG377" s="1330">
        <f t="shared" si="72"/>
        <v>0</v>
      </c>
      <c r="AH377" s="1330">
        <f t="shared" si="73"/>
        <v>0</v>
      </c>
    </row>
    <row r="378" spans="2:34">
      <c r="B378" s="1687"/>
      <c r="C378" s="1687"/>
      <c r="D378" s="1687"/>
      <c r="E378" s="2152"/>
      <c r="F378" s="1326"/>
      <c r="G378" s="1327"/>
      <c r="H378" s="1326"/>
      <c r="I378" s="1327"/>
      <c r="J378" s="1687"/>
      <c r="K378" s="1687"/>
      <c r="L378" s="1687"/>
      <c r="M378" s="1328"/>
      <c r="N378" s="1328"/>
      <c r="O378" s="1687"/>
      <c r="P378" s="1687"/>
      <c r="Q378" s="1687"/>
      <c r="R378" s="1326"/>
      <c r="S378" s="1327"/>
      <c r="T378" s="1326"/>
      <c r="U378" s="1326"/>
      <c r="V378" s="1329">
        <f t="shared" si="74"/>
        <v>0</v>
      </c>
      <c r="W378" s="1329">
        <f t="shared" si="75"/>
        <v>0</v>
      </c>
      <c r="X378" s="1329">
        <f t="shared" si="76"/>
        <v>0</v>
      </c>
      <c r="Y378" s="1329">
        <f t="shared" si="77"/>
        <v>0</v>
      </c>
      <c r="Z378" s="1329">
        <f t="shared" si="78"/>
        <v>0</v>
      </c>
      <c r="AA378" s="1329">
        <f t="shared" si="79"/>
        <v>0</v>
      </c>
      <c r="AB378" s="1329"/>
      <c r="AC378" s="1329">
        <f t="shared" si="80"/>
        <v>0</v>
      </c>
      <c r="AD378" s="1329"/>
      <c r="AE378" s="1329">
        <f t="shared" si="81"/>
        <v>0</v>
      </c>
      <c r="AF378" s="1329">
        <f t="shared" si="82"/>
        <v>0</v>
      </c>
      <c r="AG378" s="1330">
        <f t="shared" si="72"/>
        <v>0</v>
      </c>
      <c r="AH378" s="1330">
        <f t="shared" si="73"/>
        <v>0</v>
      </c>
    </row>
    <row r="379" spans="2:34">
      <c r="B379" s="1687"/>
      <c r="C379" s="1687"/>
      <c r="D379" s="1687"/>
      <c r="E379" s="2152"/>
      <c r="F379" s="1326"/>
      <c r="G379" s="1327"/>
      <c r="H379" s="1326"/>
      <c r="I379" s="1327"/>
      <c r="J379" s="1687"/>
      <c r="K379" s="1687"/>
      <c r="L379" s="1687"/>
      <c r="M379" s="1328"/>
      <c r="N379" s="1328"/>
      <c r="O379" s="1687"/>
      <c r="P379" s="1687"/>
      <c r="Q379" s="1687"/>
      <c r="R379" s="1326"/>
      <c r="S379" s="1327"/>
      <c r="T379" s="1326"/>
      <c r="U379" s="1326"/>
      <c r="V379" s="1329">
        <f t="shared" si="74"/>
        <v>0</v>
      </c>
      <c r="W379" s="1329">
        <f t="shared" si="75"/>
        <v>0</v>
      </c>
      <c r="X379" s="1329">
        <f t="shared" si="76"/>
        <v>0</v>
      </c>
      <c r="Y379" s="1329">
        <f t="shared" si="77"/>
        <v>0</v>
      </c>
      <c r="Z379" s="1329">
        <f t="shared" si="78"/>
        <v>0</v>
      </c>
      <c r="AA379" s="1329">
        <f t="shared" si="79"/>
        <v>0</v>
      </c>
      <c r="AB379" s="1329"/>
      <c r="AC379" s="1329">
        <f t="shared" si="80"/>
        <v>0</v>
      </c>
      <c r="AD379" s="1329"/>
      <c r="AE379" s="1329">
        <f t="shared" si="81"/>
        <v>0</v>
      </c>
      <c r="AF379" s="1329">
        <f t="shared" si="82"/>
        <v>0</v>
      </c>
      <c r="AG379" s="1330">
        <f t="shared" si="72"/>
        <v>0</v>
      </c>
      <c r="AH379" s="1330">
        <f t="shared" si="73"/>
        <v>0</v>
      </c>
    </row>
    <row r="380" spans="2:34">
      <c r="B380" s="1687"/>
      <c r="C380" s="1687"/>
      <c r="D380" s="1687"/>
      <c r="E380" s="2152"/>
      <c r="F380" s="1326"/>
      <c r="G380" s="1327"/>
      <c r="H380" s="1326"/>
      <c r="I380" s="1327"/>
      <c r="J380" s="1687"/>
      <c r="K380" s="1687"/>
      <c r="L380" s="1687"/>
      <c r="M380" s="1328"/>
      <c r="N380" s="1328"/>
      <c r="O380" s="1687"/>
      <c r="P380" s="1687"/>
      <c r="Q380" s="1687"/>
      <c r="R380" s="1326"/>
      <c r="S380" s="1327"/>
      <c r="T380" s="1326"/>
      <c r="U380" s="1326"/>
      <c r="V380" s="1329">
        <f t="shared" si="74"/>
        <v>0</v>
      </c>
      <c r="W380" s="1329">
        <f t="shared" si="75"/>
        <v>0</v>
      </c>
      <c r="X380" s="1329">
        <f t="shared" si="76"/>
        <v>0</v>
      </c>
      <c r="Y380" s="1329">
        <f t="shared" si="77"/>
        <v>0</v>
      </c>
      <c r="Z380" s="1329">
        <f t="shared" si="78"/>
        <v>0</v>
      </c>
      <c r="AA380" s="1329">
        <f t="shared" si="79"/>
        <v>0</v>
      </c>
      <c r="AB380" s="1329"/>
      <c r="AC380" s="1329">
        <f t="shared" si="80"/>
        <v>0</v>
      </c>
      <c r="AD380" s="1329"/>
      <c r="AE380" s="1329">
        <f t="shared" si="81"/>
        <v>0</v>
      </c>
      <c r="AF380" s="1329">
        <f t="shared" si="82"/>
        <v>0</v>
      </c>
      <c r="AG380" s="1330">
        <f t="shared" si="72"/>
        <v>0</v>
      </c>
      <c r="AH380" s="1330">
        <f t="shared" si="73"/>
        <v>0</v>
      </c>
    </row>
    <row r="381" spans="2:34">
      <c r="B381" s="1687"/>
      <c r="C381" s="1687"/>
      <c r="D381" s="1687"/>
      <c r="E381" s="2152"/>
      <c r="F381" s="1326"/>
      <c r="G381" s="1327"/>
      <c r="H381" s="1326"/>
      <c r="I381" s="1327"/>
      <c r="J381" s="1687"/>
      <c r="K381" s="1687"/>
      <c r="L381" s="1687"/>
      <c r="M381" s="1328"/>
      <c r="N381" s="1328"/>
      <c r="O381" s="1687"/>
      <c r="P381" s="1687"/>
      <c r="Q381" s="1687"/>
      <c r="R381" s="1326"/>
      <c r="S381" s="1327"/>
      <c r="T381" s="1326"/>
      <c r="U381" s="1326"/>
      <c r="V381" s="1329">
        <f t="shared" si="74"/>
        <v>0</v>
      </c>
      <c r="W381" s="1329">
        <f t="shared" si="75"/>
        <v>0</v>
      </c>
      <c r="X381" s="1329">
        <f t="shared" si="76"/>
        <v>0</v>
      </c>
      <c r="Y381" s="1329">
        <f t="shared" si="77"/>
        <v>0</v>
      </c>
      <c r="Z381" s="1329">
        <f t="shared" si="78"/>
        <v>0</v>
      </c>
      <c r="AA381" s="1329">
        <f t="shared" si="79"/>
        <v>0</v>
      </c>
      <c r="AB381" s="1329"/>
      <c r="AC381" s="1329">
        <f t="shared" si="80"/>
        <v>0</v>
      </c>
      <c r="AD381" s="1329"/>
      <c r="AE381" s="1329">
        <f t="shared" si="81"/>
        <v>0</v>
      </c>
      <c r="AF381" s="1329">
        <f t="shared" si="82"/>
        <v>0</v>
      </c>
      <c r="AG381" s="1330">
        <f t="shared" si="72"/>
        <v>0</v>
      </c>
      <c r="AH381" s="1330">
        <f t="shared" si="73"/>
        <v>0</v>
      </c>
    </row>
    <row r="382" spans="2:34">
      <c r="B382" s="1687"/>
      <c r="C382" s="1687"/>
      <c r="D382" s="1687"/>
      <c r="E382" s="2152"/>
      <c r="F382" s="1326"/>
      <c r="G382" s="1327"/>
      <c r="H382" s="1326"/>
      <c r="I382" s="1327"/>
      <c r="J382" s="1687"/>
      <c r="K382" s="1687"/>
      <c r="L382" s="1687"/>
      <c r="M382" s="1328"/>
      <c r="N382" s="1328"/>
      <c r="O382" s="1687"/>
      <c r="P382" s="1687"/>
      <c r="Q382" s="1687"/>
      <c r="R382" s="1326"/>
      <c r="S382" s="1327"/>
      <c r="T382" s="1326"/>
      <c r="U382" s="1326"/>
      <c r="V382" s="1329">
        <f t="shared" si="74"/>
        <v>0</v>
      </c>
      <c r="W382" s="1329">
        <f t="shared" si="75"/>
        <v>0</v>
      </c>
      <c r="X382" s="1329">
        <f t="shared" si="76"/>
        <v>0</v>
      </c>
      <c r="Y382" s="1329">
        <f t="shared" si="77"/>
        <v>0</v>
      </c>
      <c r="Z382" s="1329">
        <f t="shared" si="78"/>
        <v>0</v>
      </c>
      <c r="AA382" s="1329">
        <f t="shared" si="79"/>
        <v>0</v>
      </c>
      <c r="AB382" s="1329"/>
      <c r="AC382" s="1329">
        <f t="shared" si="80"/>
        <v>0</v>
      </c>
      <c r="AD382" s="1329"/>
      <c r="AE382" s="1329">
        <f t="shared" si="81"/>
        <v>0</v>
      </c>
      <c r="AF382" s="1329">
        <f t="shared" si="82"/>
        <v>0</v>
      </c>
      <c r="AG382" s="1330">
        <f t="shared" si="72"/>
        <v>0</v>
      </c>
      <c r="AH382" s="1330">
        <f t="shared" si="73"/>
        <v>0</v>
      </c>
    </row>
    <row r="383" spans="2:34">
      <c r="B383" s="1687"/>
      <c r="C383" s="1687"/>
      <c r="D383" s="1687"/>
      <c r="E383" s="2152"/>
      <c r="F383" s="1326"/>
      <c r="G383" s="1327"/>
      <c r="H383" s="1326"/>
      <c r="I383" s="1327"/>
      <c r="J383" s="1687"/>
      <c r="K383" s="1687"/>
      <c r="L383" s="1687"/>
      <c r="M383" s="1328"/>
      <c r="N383" s="1328"/>
      <c r="O383" s="1687"/>
      <c r="P383" s="1687"/>
      <c r="Q383" s="1687"/>
      <c r="R383" s="1326"/>
      <c r="S383" s="1327"/>
      <c r="T383" s="1326"/>
      <c r="U383" s="1326"/>
      <c r="V383" s="1329">
        <f t="shared" si="74"/>
        <v>0</v>
      </c>
      <c r="W383" s="1329">
        <f t="shared" si="75"/>
        <v>0</v>
      </c>
      <c r="X383" s="1329">
        <f t="shared" si="76"/>
        <v>0</v>
      </c>
      <c r="Y383" s="1329">
        <f t="shared" si="77"/>
        <v>0</v>
      </c>
      <c r="Z383" s="1329">
        <f t="shared" si="78"/>
        <v>0</v>
      </c>
      <c r="AA383" s="1329">
        <f t="shared" si="79"/>
        <v>0</v>
      </c>
      <c r="AB383" s="1329"/>
      <c r="AC383" s="1329">
        <f t="shared" si="80"/>
        <v>0</v>
      </c>
      <c r="AD383" s="1329"/>
      <c r="AE383" s="1329">
        <f t="shared" si="81"/>
        <v>0</v>
      </c>
      <c r="AF383" s="1329">
        <f t="shared" si="82"/>
        <v>0</v>
      </c>
      <c r="AG383" s="1330">
        <f t="shared" si="72"/>
        <v>0</v>
      </c>
      <c r="AH383" s="1330">
        <f t="shared" si="73"/>
        <v>0</v>
      </c>
    </row>
    <row r="384" spans="2:34">
      <c r="B384" s="1687"/>
      <c r="C384" s="1687"/>
      <c r="D384" s="1687"/>
      <c r="E384" s="2152"/>
      <c r="F384" s="1326"/>
      <c r="G384" s="1327"/>
      <c r="H384" s="1326"/>
      <c r="I384" s="1327"/>
      <c r="J384" s="1687"/>
      <c r="K384" s="1687"/>
      <c r="L384" s="1687"/>
      <c r="M384" s="1328"/>
      <c r="N384" s="1328"/>
      <c r="O384" s="1687"/>
      <c r="P384" s="1687"/>
      <c r="Q384" s="1687"/>
      <c r="R384" s="1326"/>
      <c r="S384" s="1327"/>
      <c r="T384" s="1326"/>
      <c r="U384" s="1326"/>
      <c r="V384" s="1329">
        <f t="shared" si="74"/>
        <v>0</v>
      </c>
      <c r="W384" s="1329">
        <f t="shared" si="75"/>
        <v>0</v>
      </c>
      <c r="X384" s="1329">
        <f t="shared" si="76"/>
        <v>0</v>
      </c>
      <c r="Y384" s="1329">
        <f t="shared" si="77"/>
        <v>0</v>
      </c>
      <c r="Z384" s="1329">
        <f t="shared" si="78"/>
        <v>0</v>
      </c>
      <c r="AA384" s="1329">
        <f t="shared" si="79"/>
        <v>0</v>
      </c>
      <c r="AB384" s="1329"/>
      <c r="AC384" s="1329">
        <f t="shared" si="80"/>
        <v>0</v>
      </c>
      <c r="AD384" s="1329"/>
      <c r="AE384" s="1329">
        <f t="shared" si="81"/>
        <v>0</v>
      </c>
      <c r="AF384" s="1329">
        <f t="shared" si="82"/>
        <v>0</v>
      </c>
      <c r="AG384" s="1330">
        <f t="shared" si="72"/>
        <v>0</v>
      </c>
      <c r="AH384" s="1330">
        <f t="shared" si="73"/>
        <v>0</v>
      </c>
    </row>
    <row r="385" spans="2:34">
      <c r="B385" s="1687"/>
      <c r="C385" s="1687"/>
      <c r="D385" s="1687"/>
      <c r="E385" s="2152"/>
      <c r="F385" s="1326"/>
      <c r="G385" s="1327"/>
      <c r="H385" s="1326"/>
      <c r="I385" s="1327"/>
      <c r="J385" s="1687"/>
      <c r="K385" s="1687"/>
      <c r="L385" s="1687"/>
      <c r="M385" s="1328"/>
      <c r="N385" s="1328"/>
      <c r="O385" s="1687"/>
      <c r="P385" s="1687"/>
      <c r="Q385" s="1687"/>
      <c r="R385" s="1326"/>
      <c r="S385" s="1327"/>
      <c r="T385" s="1326"/>
      <c r="U385" s="1326"/>
      <c r="V385" s="1329">
        <f t="shared" si="74"/>
        <v>0</v>
      </c>
      <c r="W385" s="1329">
        <f t="shared" si="75"/>
        <v>0</v>
      </c>
      <c r="X385" s="1329">
        <f t="shared" si="76"/>
        <v>0</v>
      </c>
      <c r="Y385" s="1329">
        <f t="shared" si="77"/>
        <v>0</v>
      </c>
      <c r="Z385" s="1329">
        <f t="shared" si="78"/>
        <v>0</v>
      </c>
      <c r="AA385" s="1329">
        <f t="shared" si="79"/>
        <v>0</v>
      </c>
      <c r="AB385" s="1329"/>
      <c r="AC385" s="1329">
        <f t="shared" si="80"/>
        <v>0</v>
      </c>
      <c r="AD385" s="1329"/>
      <c r="AE385" s="1329">
        <f t="shared" si="81"/>
        <v>0</v>
      </c>
      <c r="AF385" s="1329">
        <f t="shared" si="82"/>
        <v>0</v>
      </c>
      <c r="AG385" s="1330">
        <f t="shared" si="72"/>
        <v>0</v>
      </c>
      <c r="AH385" s="1330">
        <f t="shared" si="73"/>
        <v>0</v>
      </c>
    </row>
    <row r="386" spans="2:34">
      <c r="B386" s="1687"/>
      <c r="C386" s="1687"/>
      <c r="D386" s="1687"/>
      <c r="E386" s="2152"/>
      <c r="F386" s="1326"/>
      <c r="G386" s="1327"/>
      <c r="H386" s="1326"/>
      <c r="I386" s="1327"/>
      <c r="J386" s="1687"/>
      <c r="K386" s="1687"/>
      <c r="L386" s="1687"/>
      <c r="M386" s="1328"/>
      <c r="N386" s="1328"/>
      <c r="O386" s="1687"/>
      <c r="P386" s="1687"/>
      <c r="Q386" s="1687"/>
      <c r="R386" s="1326"/>
      <c r="S386" s="1327"/>
      <c r="T386" s="1326"/>
      <c r="U386" s="1326"/>
      <c r="V386" s="1329">
        <f t="shared" si="74"/>
        <v>0</v>
      </c>
      <c r="W386" s="1329">
        <f t="shared" si="75"/>
        <v>0</v>
      </c>
      <c r="X386" s="1329">
        <f t="shared" si="76"/>
        <v>0</v>
      </c>
      <c r="Y386" s="1329">
        <f t="shared" si="77"/>
        <v>0</v>
      </c>
      <c r="Z386" s="1329">
        <f t="shared" si="78"/>
        <v>0</v>
      </c>
      <c r="AA386" s="1329">
        <f t="shared" si="79"/>
        <v>0</v>
      </c>
      <c r="AB386" s="1329"/>
      <c r="AC386" s="1329">
        <f t="shared" si="80"/>
        <v>0</v>
      </c>
      <c r="AD386" s="1329"/>
      <c r="AE386" s="1329">
        <f t="shared" si="81"/>
        <v>0</v>
      </c>
      <c r="AF386" s="1329">
        <f t="shared" si="82"/>
        <v>0</v>
      </c>
      <c r="AG386" s="1330">
        <f t="shared" si="72"/>
        <v>0</v>
      </c>
      <c r="AH386" s="1330">
        <f t="shared" si="73"/>
        <v>0</v>
      </c>
    </row>
    <row r="387" spans="2:34">
      <c r="B387" s="1687"/>
      <c r="C387" s="1687"/>
      <c r="D387" s="1687"/>
      <c r="E387" s="2152"/>
      <c r="F387" s="1326"/>
      <c r="G387" s="1327"/>
      <c r="H387" s="1326"/>
      <c r="I387" s="1327"/>
      <c r="J387" s="1687"/>
      <c r="K387" s="1687"/>
      <c r="L387" s="1687"/>
      <c r="M387" s="1328"/>
      <c r="N387" s="1328"/>
      <c r="O387" s="1687"/>
      <c r="P387" s="1687"/>
      <c r="Q387" s="1687"/>
      <c r="R387" s="1326"/>
      <c r="S387" s="1327"/>
      <c r="T387" s="1326"/>
      <c r="U387" s="1326"/>
      <c r="V387" s="1329">
        <f t="shared" si="74"/>
        <v>0</v>
      </c>
      <c r="W387" s="1329">
        <f t="shared" si="75"/>
        <v>0</v>
      </c>
      <c r="X387" s="1329">
        <f t="shared" si="76"/>
        <v>0</v>
      </c>
      <c r="Y387" s="1329">
        <f t="shared" si="77"/>
        <v>0</v>
      </c>
      <c r="Z387" s="1329">
        <f t="shared" si="78"/>
        <v>0</v>
      </c>
      <c r="AA387" s="1329">
        <f t="shared" si="79"/>
        <v>0</v>
      </c>
      <c r="AB387" s="1329"/>
      <c r="AC387" s="1329">
        <f t="shared" si="80"/>
        <v>0</v>
      </c>
      <c r="AD387" s="1329"/>
      <c r="AE387" s="1329">
        <f t="shared" si="81"/>
        <v>0</v>
      </c>
      <c r="AF387" s="1329">
        <f t="shared" si="82"/>
        <v>0</v>
      </c>
      <c r="AG387" s="1330">
        <f t="shared" si="72"/>
        <v>0</v>
      </c>
      <c r="AH387" s="1330">
        <f t="shared" si="73"/>
        <v>0</v>
      </c>
    </row>
    <row r="388" spans="2:34">
      <c r="B388" s="1687"/>
      <c r="C388" s="1687"/>
      <c r="D388" s="1687"/>
      <c r="E388" s="2152"/>
      <c r="F388" s="1326"/>
      <c r="G388" s="1327"/>
      <c r="H388" s="1326"/>
      <c r="I388" s="1327"/>
      <c r="J388" s="1687"/>
      <c r="K388" s="1687"/>
      <c r="L388" s="1687"/>
      <c r="M388" s="1328"/>
      <c r="N388" s="1328"/>
      <c r="O388" s="1687"/>
      <c r="P388" s="1687"/>
      <c r="Q388" s="1687"/>
      <c r="R388" s="1326"/>
      <c r="S388" s="1327"/>
      <c r="T388" s="1326"/>
      <c r="U388" s="1326"/>
      <c r="V388" s="1329">
        <f t="shared" si="74"/>
        <v>0</v>
      </c>
      <c r="W388" s="1329">
        <f t="shared" si="75"/>
        <v>0</v>
      </c>
      <c r="X388" s="1329">
        <f t="shared" si="76"/>
        <v>0</v>
      </c>
      <c r="Y388" s="1329">
        <f t="shared" si="77"/>
        <v>0</v>
      </c>
      <c r="Z388" s="1329">
        <f t="shared" si="78"/>
        <v>0</v>
      </c>
      <c r="AA388" s="1329">
        <f t="shared" si="79"/>
        <v>0</v>
      </c>
      <c r="AB388" s="1329"/>
      <c r="AC388" s="1329">
        <f t="shared" si="80"/>
        <v>0</v>
      </c>
      <c r="AD388" s="1329"/>
      <c r="AE388" s="1329">
        <f t="shared" si="81"/>
        <v>0</v>
      </c>
      <c r="AF388" s="1329">
        <f t="shared" si="82"/>
        <v>0</v>
      </c>
      <c r="AG388" s="1330">
        <f t="shared" si="72"/>
        <v>0</v>
      </c>
      <c r="AH388" s="1330">
        <f t="shared" si="73"/>
        <v>0</v>
      </c>
    </row>
    <row r="389" spans="2:34">
      <c r="B389" s="1687"/>
      <c r="C389" s="1687"/>
      <c r="D389" s="1687"/>
      <c r="E389" s="2152"/>
      <c r="F389" s="1326"/>
      <c r="G389" s="1327"/>
      <c r="H389" s="1326"/>
      <c r="I389" s="1327"/>
      <c r="J389" s="1687"/>
      <c r="K389" s="1687"/>
      <c r="L389" s="1687"/>
      <c r="M389" s="1328"/>
      <c r="N389" s="1328"/>
      <c r="O389" s="1687"/>
      <c r="P389" s="1687"/>
      <c r="Q389" s="1687"/>
      <c r="R389" s="1326"/>
      <c r="S389" s="1327"/>
      <c r="T389" s="1326"/>
      <c r="U389" s="1326"/>
      <c r="V389" s="1329">
        <f t="shared" si="74"/>
        <v>0</v>
      </c>
      <c r="W389" s="1329">
        <f t="shared" si="75"/>
        <v>0</v>
      </c>
      <c r="X389" s="1329">
        <f t="shared" si="76"/>
        <v>0</v>
      </c>
      <c r="Y389" s="1329">
        <f t="shared" si="77"/>
        <v>0</v>
      </c>
      <c r="Z389" s="1329">
        <f t="shared" si="78"/>
        <v>0</v>
      </c>
      <c r="AA389" s="1329">
        <f t="shared" si="79"/>
        <v>0</v>
      </c>
      <c r="AB389" s="1329"/>
      <c r="AC389" s="1329">
        <f t="shared" si="80"/>
        <v>0</v>
      </c>
      <c r="AD389" s="1329"/>
      <c r="AE389" s="1329">
        <f t="shared" si="81"/>
        <v>0</v>
      </c>
      <c r="AF389" s="1329">
        <f t="shared" si="82"/>
        <v>0</v>
      </c>
      <c r="AG389" s="1330">
        <f t="shared" si="72"/>
        <v>0</v>
      </c>
      <c r="AH389" s="1330">
        <f t="shared" si="73"/>
        <v>0</v>
      </c>
    </row>
    <row r="390" spans="2:34">
      <c r="B390" s="1687"/>
      <c r="C390" s="1687"/>
      <c r="D390" s="1687"/>
      <c r="E390" s="2152"/>
      <c r="F390" s="1326"/>
      <c r="G390" s="1327"/>
      <c r="H390" s="1326"/>
      <c r="I390" s="1327"/>
      <c r="J390" s="1687"/>
      <c r="K390" s="1687"/>
      <c r="L390" s="1687"/>
      <c r="M390" s="1328"/>
      <c r="N390" s="1328"/>
      <c r="O390" s="1687"/>
      <c r="P390" s="1687"/>
      <c r="Q390" s="1687"/>
      <c r="R390" s="1326"/>
      <c r="S390" s="1327"/>
      <c r="T390" s="1326"/>
      <c r="U390" s="1326"/>
      <c r="V390" s="1329">
        <f t="shared" si="74"/>
        <v>0</v>
      </c>
      <c r="W390" s="1329">
        <f t="shared" si="75"/>
        <v>0</v>
      </c>
      <c r="X390" s="1329">
        <f t="shared" si="76"/>
        <v>0</v>
      </c>
      <c r="Y390" s="1329">
        <f t="shared" si="77"/>
        <v>0</v>
      </c>
      <c r="Z390" s="1329">
        <f t="shared" si="78"/>
        <v>0</v>
      </c>
      <c r="AA390" s="1329">
        <f t="shared" si="79"/>
        <v>0</v>
      </c>
      <c r="AB390" s="1329"/>
      <c r="AC390" s="1329">
        <f t="shared" si="80"/>
        <v>0</v>
      </c>
      <c r="AD390" s="1329"/>
      <c r="AE390" s="1329">
        <f t="shared" si="81"/>
        <v>0</v>
      </c>
      <c r="AF390" s="1329">
        <f t="shared" si="82"/>
        <v>0</v>
      </c>
      <c r="AG390" s="1330">
        <f t="shared" si="72"/>
        <v>0</v>
      </c>
      <c r="AH390" s="1330">
        <f t="shared" si="73"/>
        <v>0</v>
      </c>
    </row>
    <row r="391" spans="2:34">
      <c r="B391" s="1687"/>
      <c r="C391" s="1687"/>
      <c r="D391" s="1687"/>
      <c r="E391" s="2152"/>
      <c r="F391" s="1326"/>
      <c r="G391" s="1327"/>
      <c r="H391" s="1326"/>
      <c r="I391" s="1327"/>
      <c r="J391" s="1687"/>
      <c r="K391" s="1687"/>
      <c r="L391" s="1687"/>
      <c r="M391" s="1328"/>
      <c r="N391" s="1328"/>
      <c r="O391" s="1687"/>
      <c r="P391" s="1687"/>
      <c r="Q391" s="1687"/>
      <c r="R391" s="1326"/>
      <c r="S391" s="1327"/>
      <c r="T391" s="1326"/>
      <c r="U391" s="1326"/>
      <c r="V391" s="1329">
        <f t="shared" si="74"/>
        <v>0</v>
      </c>
      <c r="W391" s="1329">
        <f t="shared" si="75"/>
        <v>0</v>
      </c>
      <c r="X391" s="1329">
        <f t="shared" si="76"/>
        <v>0</v>
      </c>
      <c r="Y391" s="1329">
        <f t="shared" si="77"/>
        <v>0</v>
      </c>
      <c r="Z391" s="1329">
        <f t="shared" si="78"/>
        <v>0</v>
      </c>
      <c r="AA391" s="1329">
        <f t="shared" si="79"/>
        <v>0</v>
      </c>
      <c r="AB391" s="1329"/>
      <c r="AC391" s="1329">
        <f t="shared" si="80"/>
        <v>0</v>
      </c>
      <c r="AD391" s="1329"/>
      <c r="AE391" s="1329">
        <f t="shared" si="81"/>
        <v>0</v>
      </c>
      <c r="AF391" s="1329">
        <f t="shared" si="82"/>
        <v>0</v>
      </c>
      <c r="AG391" s="1330">
        <f t="shared" si="72"/>
        <v>0</v>
      </c>
      <c r="AH391" s="1330">
        <f t="shared" si="73"/>
        <v>0</v>
      </c>
    </row>
    <row r="392" spans="2:34">
      <c r="B392" s="1687"/>
      <c r="C392" s="1687"/>
      <c r="D392" s="1687"/>
      <c r="E392" s="2152"/>
      <c r="F392" s="1326"/>
      <c r="G392" s="1327"/>
      <c r="H392" s="1326"/>
      <c r="I392" s="1327"/>
      <c r="J392" s="1687"/>
      <c r="K392" s="1687"/>
      <c r="L392" s="1687"/>
      <c r="M392" s="1328"/>
      <c r="N392" s="1328"/>
      <c r="O392" s="1687"/>
      <c r="P392" s="1687"/>
      <c r="Q392" s="1687"/>
      <c r="R392" s="1326"/>
      <c r="S392" s="1327"/>
      <c r="T392" s="1326"/>
      <c r="U392" s="1326"/>
      <c r="V392" s="1329">
        <f t="shared" si="74"/>
        <v>0</v>
      </c>
      <c r="W392" s="1329">
        <f t="shared" si="75"/>
        <v>0</v>
      </c>
      <c r="X392" s="1329">
        <f t="shared" si="76"/>
        <v>0</v>
      </c>
      <c r="Y392" s="1329">
        <f t="shared" si="77"/>
        <v>0</v>
      </c>
      <c r="Z392" s="1329">
        <f t="shared" si="78"/>
        <v>0</v>
      </c>
      <c r="AA392" s="1329">
        <f t="shared" si="79"/>
        <v>0</v>
      </c>
      <c r="AB392" s="1329"/>
      <c r="AC392" s="1329">
        <f t="shared" si="80"/>
        <v>0</v>
      </c>
      <c r="AD392" s="1329"/>
      <c r="AE392" s="1329">
        <f t="shared" si="81"/>
        <v>0</v>
      </c>
      <c r="AF392" s="1329">
        <f t="shared" si="82"/>
        <v>0</v>
      </c>
      <c r="AG392" s="1330">
        <f t="shared" si="72"/>
        <v>0</v>
      </c>
      <c r="AH392" s="1330">
        <f t="shared" si="73"/>
        <v>0</v>
      </c>
    </row>
    <row r="393" spans="2:34">
      <c r="B393" s="1687"/>
      <c r="C393" s="1687"/>
      <c r="D393" s="1687"/>
      <c r="E393" s="2152"/>
      <c r="F393" s="1326"/>
      <c r="G393" s="1327"/>
      <c r="H393" s="1326"/>
      <c r="I393" s="1327"/>
      <c r="J393" s="1687"/>
      <c r="K393" s="1687"/>
      <c r="L393" s="1687"/>
      <c r="M393" s="1328"/>
      <c r="N393" s="1328"/>
      <c r="O393" s="1687"/>
      <c r="P393" s="1687"/>
      <c r="Q393" s="1687"/>
      <c r="R393" s="1326"/>
      <c r="S393" s="1327"/>
      <c r="T393" s="1326"/>
      <c r="U393" s="1326"/>
      <c r="V393" s="1329">
        <f t="shared" si="74"/>
        <v>0</v>
      </c>
      <c r="W393" s="1329">
        <f t="shared" si="75"/>
        <v>0</v>
      </c>
      <c r="X393" s="1329">
        <f t="shared" si="76"/>
        <v>0</v>
      </c>
      <c r="Y393" s="1329">
        <f t="shared" si="77"/>
        <v>0</v>
      </c>
      <c r="Z393" s="1329">
        <f t="shared" si="78"/>
        <v>0</v>
      </c>
      <c r="AA393" s="1329">
        <f t="shared" si="79"/>
        <v>0</v>
      </c>
      <c r="AB393" s="1329"/>
      <c r="AC393" s="1329">
        <f t="shared" si="80"/>
        <v>0</v>
      </c>
      <c r="AD393" s="1329"/>
      <c r="AE393" s="1329">
        <f t="shared" si="81"/>
        <v>0</v>
      </c>
      <c r="AF393" s="1329">
        <f t="shared" si="82"/>
        <v>0</v>
      </c>
      <c r="AG393" s="1330">
        <f t="shared" si="72"/>
        <v>0</v>
      </c>
      <c r="AH393" s="1330">
        <f t="shared" si="73"/>
        <v>0</v>
      </c>
    </row>
    <row r="394" spans="2:34">
      <c r="B394" s="1687"/>
      <c r="C394" s="1687"/>
      <c r="D394" s="1687"/>
      <c r="E394" s="2152"/>
      <c r="F394" s="1326"/>
      <c r="G394" s="1327"/>
      <c r="H394" s="1326"/>
      <c r="I394" s="1327"/>
      <c r="J394" s="1687"/>
      <c r="K394" s="1687"/>
      <c r="L394" s="1687"/>
      <c r="M394" s="1328"/>
      <c r="N394" s="1328"/>
      <c r="O394" s="1687"/>
      <c r="P394" s="1687"/>
      <c r="Q394" s="1687"/>
      <c r="R394" s="1326"/>
      <c r="S394" s="1327"/>
      <c r="T394" s="1326"/>
      <c r="U394" s="1326"/>
      <c r="V394" s="1329">
        <f t="shared" si="74"/>
        <v>0</v>
      </c>
      <c r="W394" s="1329">
        <f t="shared" si="75"/>
        <v>0</v>
      </c>
      <c r="X394" s="1329">
        <f t="shared" si="76"/>
        <v>0</v>
      </c>
      <c r="Y394" s="1329">
        <f t="shared" si="77"/>
        <v>0</v>
      </c>
      <c r="Z394" s="1329">
        <f t="shared" si="78"/>
        <v>0</v>
      </c>
      <c r="AA394" s="1329">
        <f t="shared" si="79"/>
        <v>0</v>
      </c>
      <c r="AB394" s="1329"/>
      <c r="AC394" s="1329">
        <f t="shared" si="80"/>
        <v>0</v>
      </c>
      <c r="AD394" s="1329"/>
      <c r="AE394" s="1329">
        <f t="shared" si="81"/>
        <v>0</v>
      </c>
      <c r="AF394" s="1329">
        <f t="shared" si="82"/>
        <v>0</v>
      </c>
      <c r="AG394" s="1330">
        <f t="shared" si="72"/>
        <v>0</v>
      </c>
      <c r="AH394" s="1330">
        <f t="shared" si="73"/>
        <v>0</v>
      </c>
    </row>
    <row r="395" spans="2:34">
      <c r="B395" s="1687"/>
      <c r="C395" s="1687"/>
      <c r="D395" s="1687"/>
      <c r="E395" s="2152"/>
      <c r="F395" s="1326"/>
      <c r="G395" s="1327"/>
      <c r="H395" s="1326"/>
      <c r="I395" s="1327"/>
      <c r="J395" s="1687"/>
      <c r="K395" s="1687"/>
      <c r="L395" s="1687"/>
      <c r="M395" s="1328"/>
      <c r="N395" s="1328"/>
      <c r="O395" s="1687"/>
      <c r="P395" s="1687"/>
      <c r="Q395" s="1687"/>
      <c r="R395" s="1326"/>
      <c r="S395" s="1327"/>
      <c r="T395" s="1326"/>
      <c r="U395" s="1326"/>
      <c r="V395" s="1329">
        <f t="shared" si="74"/>
        <v>0</v>
      </c>
      <c r="W395" s="1329">
        <f t="shared" si="75"/>
        <v>0</v>
      </c>
      <c r="X395" s="1329">
        <f t="shared" si="76"/>
        <v>0</v>
      </c>
      <c r="Y395" s="1329">
        <f t="shared" si="77"/>
        <v>0</v>
      </c>
      <c r="Z395" s="1329">
        <f t="shared" si="78"/>
        <v>0</v>
      </c>
      <c r="AA395" s="1329">
        <f t="shared" si="79"/>
        <v>0</v>
      </c>
      <c r="AB395" s="1329"/>
      <c r="AC395" s="1329">
        <f t="shared" si="80"/>
        <v>0</v>
      </c>
      <c r="AD395" s="1329"/>
      <c r="AE395" s="1329">
        <f t="shared" si="81"/>
        <v>0</v>
      </c>
      <c r="AF395" s="1329">
        <f t="shared" si="82"/>
        <v>0</v>
      </c>
      <c r="AG395" s="1330">
        <f t="shared" si="72"/>
        <v>0</v>
      </c>
      <c r="AH395" s="1330">
        <f t="shared" si="73"/>
        <v>0</v>
      </c>
    </row>
    <row r="396" spans="2:34">
      <c r="B396" s="1687"/>
      <c r="C396" s="1687"/>
      <c r="D396" s="1687"/>
      <c r="E396" s="2152"/>
      <c r="F396" s="1326"/>
      <c r="G396" s="1327"/>
      <c r="H396" s="1326"/>
      <c r="I396" s="1327"/>
      <c r="J396" s="1687"/>
      <c r="K396" s="1687"/>
      <c r="L396" s="1687"/>
      <c r="M396" s="1328"/>
      <c r="N396" s="1328"/>
      <c r="O396" s="1687"/>
      <c r="P396" s="1687"/>
      <c r="Q396" s="1687"/>
      <c r="R396" s="1326"/>
      <c r="S396" s="1327"/>
      <c r="T396" s="1326"/>
      <c r="U396" s="1326"/>
      <c r="V396" s="1329">
        <f t="shared" si="74"/>
        <v>0</v>
      </c>
      <c r="W396" s="1329">
        <f t="shared" si="75"/>
        <v>0</v>
      </c>
      <c r="X396" s="1329">
        <f t="shared" si="76"/>
        <v>0</v>
      </c>
      <c r="Y396" s="1329">
        <f t="shared" si="77"/>
        <v>0</v>
      </c>
      <c r="Z396" s="1329">
        <f t="shared" si="78"/>
        <v>0</v>
      </c>
      <c r="AA396" s="1329">
        <f t="shared" si="79"/>
        <v>0</v>
      </c>
      <c r="AB396" s="1329"/>
      <c r="AC396" s="1329">
        <f t="shared" si="80"/>
        <v>0</v>
      </c>
      <c r="AD396" s="1329"/>
      <c r="AE396" s="1329">
        <f t="shared" si="81"/>
        <v>0</v>
      </c>
      <c r="AF396" s="1329">
        <f t="shared" si="82"/>
        <v>0</v>
      </c>
      <c r="AG396" s="1330">
        <f t="shared" si="72"/>
        <v>0</v>
      </c>
      <c r="AH396" s="1330">
        <f t="shared" si="73"/>
        <v>0</v>
      </c>
    </row>
    <row r="397" spans="2:34">
      <c r="B397" s="1687"/>
      <c r="C397" s="1687"/>
      <c r="D397" s="1687"/>
      <c r="E397" s="2152"/>
      <c r="F397" s="1326"/>
      <c r="G397" s="1327"/>
      <c r="H397" s="1326"/>
      <c r="I397" s="1327"/>
      <c r="J397" s="1687"/>
      <c r="K397" s="1687"/>
      <c r="L397" s="1687"/>
      <c r="M397" s="1328"/>
      <c r="N397" s="1328"/>
      <c r="O397" s="1687"/>
      <c r="P397" s="1687"/>
      <c r="Q397" s="1687"/>
      <c r="R397" s="1326"/>
      <c r="S397" s="1327"/>
      <c r="T397" s="1326"/>
      <c r="U397" s="1326"/>
      <c r="V397" s="1329">
        <f t="shared" si="74"/>
        <v>0</v>
      </c>
      <c r="W397" s="1329">
        <f t="shared" si="75"/>
        <v>0</v>
      </c>
      <c r="X397" s="1329">
        <f t="shared" si="76"/>
        <v>0</v>
      </c>
      <c r="Y397" s="1329">
        <f t="shared" si="77"/>
        <v>0</v>
      </c>
      <c r="Z397" s="1329">
        <f t="shared" si="78"/>
        <v>0</v>
      </c>
      <c r="AA397" s="1329">
        <f t="shared" si="79"/>
        <v>0</v>
      </c>
      <c r="AB397" s="1329"/>
      <c r="AC397" s="1329">
        <f t="shared" si="80"/>
        <v>0</v>
      </c>
      <c r="AD397" s="1329"/>
      <c r="AE397" s="1329">
        <f t="shared" si="81"/>
        <v>0</v>
      </c>
      <c r="AF397" s="1329">
        <f t="shared" si="82"/>
        <v>0</v>
      </c>
      <c r="AG397" s="1330">
        <f t="shared" si="72"/>
        <v>0</v>
      </c>
      <c r="AH397" s="1330">
        <f t="shared" si="73"/>
        <v>0</v>
      </c>
    </row>
    <row r="398" spans="2:34">
      <c r="B398" s="1687"/>
      <c r="C398" s="1687"/>
      <c r="D398" s="1687"/>
      <c r="E398" s="2152"/>
      <c r="F398" s="1326"/>
      <c r="G398" s="1327"/>
      <c r="H398" s="1326"/>
      <c r="I398" s="1327"/>
      <c r="J398" s="1687"/>
      <c r="K398" s="1687"/>
      <c r="L398" s="1687"/>
      <c r="M398" s="1328"/>
      <c r="N398" s="1328"/>
      <c r="O398" s="1687"/>
      <c r="P398" s="1687"/>
      <c r="Q398" s="1687"/>
      <c r="R398" s="1326"/>
      <c r="S398" s="1327"/>
      <c r="T398" s="1326"/>
      <c r="U398" s="1326"/>
      <c r="V398" s="1329">
        <f t="shared" si="74"/>
        <v>0</v>
      </c>
      <c r="W398" s="1329">
        <f t="shared" si="75"/>
        <v>0</v>
      </c>
      <c r="X398" s="1329">
        <f t="shared" si="76"/>
        <v>0</v>
      </c>
      <c r="Y398" s="1329">
        <f t="shared" si="77"/>
        <v>0</v>
      </c>
      <c r="Z398" s="1329">
        <f t="shared" si="78"/>
        <v>0</v>
      </c>
      <c r="AA398" s="1329">
        <f t="shared" si="79"/>
        <v>0</v>
      </c>
      <c r="AB398" s="1329"/>
      <c r="AC398" s="1329">
        <f t="shared" si="80"/>
        <v>0</v>
      </c>
      <c r="AD398" s="1329"/>
      <c r="AE398" s="1329">
        <f t="shared" si="81"/>
        <v>0</v>
      </c>
      <c r="AF398" s="1329">
        <f t="shared" si="82"/>
        <v>0</v>
      </c>
      <c r="AG398" s="1330">
        <f t="shared" si="72"/>
        <v>0</v>
      </c>
      <c r="AH398" s="1330">
        <f t="shared" si="73"/>
        <v>0</v>
      </c>
    </row>
    <row r="399" spans="2:34">
      <c r="B399" s="1687"/>
      <c r="C399" s="1687"/>
      <c r="D399" s="1687"/>
      <c r="E399" s="2152"/>
      <c r="F399" s="1326"/>
      <c r="G399" s="1327"/>
      <c r="H399" s="1326"/>
      <c r="I399" s="1327"/>
      <c r="J399" s="1687"/>
      <c r="K399" s="1687"/>
      <c r="L399" s="1687"/>
      <c r="M399" s="1328"/>
      <c r="N399" s="1328"/>
      <c r="O399" s="1687"/>
      <c r="P399" s="1687"/>
      <c r="Q399" s="1687"/>
      <c r="R399" s="1326"/>
      <c r="S399" s="1327"/>
      <c r="T399" s="1326"/>
      <c r="U399" s="1326"/>
      <c r="V399" s="1329">
        <f t="shared" si="74"/>
        <v>0</v>
      </c>
      <c r="W399" s="1329">
        <f t="shared" si="75"/>
        <v>0</v>
      </c>
      <c r="X399" s="1329">
        <f t="shared" si="76"/>
        <v>0</v>
      </c>
      <c r="Y399" s="1329">
        <f t="shared" si="77"/>
        <v>0</v>
      </c>
      <c r="Z399" s="1329">
        <f t="shared" si="78"/>
        <v>0</v>
      </c>
      <c r="AA399" s="1329">
        <f t="shared" si="79"/>
        <v>0</v>
      </c>
      <c r="AB399" s="1329"/>
      <c r="AC399" s="1329">
        <f t="shared" si="80"/>
        <v>0</v>
      </c>
      <c r="AD399" s="1329"/>
      <c r="AE399" s="1329">
        <f t="shared" si="81"/>
        <v>0</v>
      </c>
      <c r="AF399" s="1329">
        <f t="shared" si="82"/>
        <v>0</v>
      </c>
      <c r="AG399" s="1330">
        <f t="shared" si="72"/>
        <v>0</v>
      </c>
      <c r="AH399" s="1330">
        <f t="shared" si="73"/>
        <v>0</v>
      </c>
    </row>
    <row r="400" spans="2:34">
      <c r="B400" s="1687"/>
      <c r="C400" s="1687"/>
      <c r="D400" s="1687"/>
      <c r="E400" s="2152"/>
      <c r="F400" s="1326"/>
      <c r="G400" s="1327"/>
      <c r="H400" s="1326"/>
      <c r="I400" s="1327"/>
      <c r="J400" s="1687"/>
      <c r="K400" s="1687"/>
      <c r="L400" s="1687"/>
      <c r="M400" s="1328"/>
      <c r="N400" s="1328"/>
      <c r="O400" s="1687"/>
      <c r="P400" s="1687"/>
      <c r="Q400" s="1687"/>
      <c r="R400" s="1326"/>
      <c r="S400" s="1327"/>
      <c r="T400" s="1326"/>
      <c r="U400" s="1326"/>
      <c r="V400" s="1329">
        <f t="shared" si="74"/>
        <v>0</v>
      </c>
      <c r="W400" s="1329">
        <f t="shared" si="75"/>
        <v>0</v>
      </c>
      <c r="X400" s="1329">
        <f t="shared" si="76"/>
        <v>0</v>
      </c>
      <c r="Y400" s="1329">
        <f t="shared" si="77"/>
        <v>0</v>
      </c>
      <c r="Z400" s="1329">
        <f t="shared" si="78"/>
        <v>0</v>
      </c>
      <c r="AA400" s="1329">
        <f t="shared" si="79"/>
        <v>0</v>
      </c>
      <c r="AB400" s="1329"/>
      <c r="AC400" s="1329">
        <f t="shared" si="80"/>
        <v>0</v>
      </c>
      <c r="AD400" s="1329"/>
      <c r="AE400" s="1329">
        <f t="shared" si="81"/>
        <v>0</v>
      </c>
      <c r="AF400" s="1329">
        <f t="shared" si="82"/>
        <v>0</v>
      </c>
      <c r="AG400" s="1330">
        <f t="shared" si="72"/>
        <v>0</v>
      </c>
      <c r="AH400" s="1330">
        <f t="shared" si="73"/>
        <v>0</v>
      </c>
    </row>
    <row r="401" spans="1:34">
      <c r="B401" s="1687"/>
      <c r="C401" s="1687"/>
      <c r="D401" s="1687"/>
      <c r="E401" s="2152"/>
      <c r="F401" s="1326"/>
      <c r="G401" s="1327"/>
      <c r="H401" s="1326"/>
      <c r="I401" s="1327"/>
      <c r="J401" s="1687"/>
      <c r="K401" s="1687"/>
      <c r="L401" s="1687"/>
      <c r="M401" s="1328"/>
      <c r="N401" s="1328"/>
      <c r="O401" s="1687"/>
      <c r="P401" s="1687"/>
      <c r="Q401" s="1687"/>
      <c r="R401" s="1326"/>
      <c r="S401" s="1327"/>
      <c r="T401" s="1326"/>
      <c r="U401" s="1326"/>
      <c r="V401" s="1329">
        <f t="shared" si="74"/>
        <v>0</v>
      </c>
      <c r="W401" s="1329">
        <f t="shared" si="75"/>
        <v>0</v>
      </c>
      <c r="X401" s="1329">
        <f t="shared" si="76"/>
        <v>0</v>
      </c>
      <c r="Y401" s="1329">
        <f t="shared" si="77"/>
        <v>0</v>
      </c>
      <c r="Z401" s="1329">
        <f t="shared" si="78"/>
        <v>0</v>
      </c>
      <c r="AA401" s="1329">
        <f t="shared" si="79"/>
        <v>0</v>
      </c>
      <c r="AB401" s="1329"/>
      <c r="AC401" s="1329">
        <f t="shared" si="80"/>
        <v>0</v>
      </c>
      <c r="AD401" s="1329"/>
      <c r="AE401" s="1329">
        <f t="shared" si="81"/>
        <v>0</v>
      </c>
      <c r="AF401" s="1329">
        <f t="shared" si="82"/>
        <v>0</v>
      </c>
      <c r="AG401" s="1330">
        <f t="shared" si="72"/>
        <v>0</v>
      </c>
      <c r="AH401" s="1330">
        <f t="shared" si="73"/>
        <v>0</v>
      </c>
    </row>
    <row r="402" spans="1:34">
      <c r="B402" s="1687"/>
      <c r="C402" s="1687"/>
      <c r="D402" s="1687"/>
      <c r="E402" s="2152"/>
      <c r="F402" s="1326"/>
      <c r="G402" s="1327"/>
      <c r="H402" s="1326"/>
      <c r="I402" s="1327"/>
      <c r="J402" s="1687"/>
      <c r="K402" s="1687"/>
      <c r="L402" s="1687"/>
      <c r="M402" s="1328"/>
      <c r="N402" s="1328"/>
      <c r="O402" s="1687"/>
      <c r="P402" s="1687"/>
      <c r="Q402" s="1687"/>
      <c r="R402" s="1326"/>
      <c r="S402" s="1327"/>
      <c r="T402" s="1326"/>
      <c r="U402" s="1326"/>
      <c r="V402" s="1329">
        <f t="shared" si="74"/>
        <v>0</v>
      </c>
      <c r="W402" s="1329">
        <f t="shared" si="75"/>
        <v>0</v>
      </c>
      <c r="X402" s="1329">
        <f t="shared" si="76"/>
        <v>0</v>
      </c>
      <c r="Y402" s="1329">
        <f t="shared" si="77"/>
        <v>0</v>
      </c>
      <c r="Z402" s="1329">
        <f t="shared" si="78"/>
        <v>0</v>
      </c>
      <c r="AA402" s="1329">
        <f t="shared" si="79"/>
        <v>0</v>
      </c>
      <c r="AB402" s="1329"/>
      <c r="AC402" s="1329">
        <f t="shared" si="80"/>
        <v>0</v>
      </c>
      <c r="AD402" s="1329"/>
      <c r="AE402" s="1329">
        <f t="shared" si="81"/>
        <v>0</v>
      </c>
      <c r="AF402" s="1329">
        <f t="shared" si="82"/>
        <v>0</v>
      </c>
      <c r="AG402" s="1330">
        <f t="shared" si="72"/>
        <v>0</v>
      </c>
      <c r="AH402" s="1330">
        <f t="shared" si="73"/>
        <v>0</v>
      </c>
    </row>
    <row r="403" spans="1:34">
      <c r="B403" s="1687"/>
      <c r="C403" s="1687"/>
      <c r="D403" s="1687"/>
      <c r="E403" s="2152"/>
      <c r="F403" s="1326"/>
      <c r="G403" s="1327"/>
      <c r="H403" s="1326"/>
      <c r="I403" s="1327"/>
      <c r="J403" s="1687"/>
      <c r="K403" s="1687"/>
      <c r="L403" s="1687"/>
      <c r="M403" s="1328"/>
      <c r="N403" s="1328"/>
      <c r="O403" s="1687"/>
      <c r="P403" s="1687"/>
      <c r="Q403" s="1687"/>
      <c r="R403" s="1326"/>
      <c r="S403" s="1327"/>
      <c r="T403" s="1326"/>
      <c r="U403" s="1326"/>
      <c r="V403" s="1329">
        <f t="shared" si="74"/>
        <v>0</v>
      </c>
      <c r="W403" s="1329">
        <f t="shared" si="75"/>
        <v>0</v>
      </c>
      <c r="X403" s="1329">
        <f t="shared" si="76"/>
        <v>0</v>
      </c>
      <c r="Y403" s="1329">
        <f t="shared" si="77"/>
        <v>0</v>
      </c>
      <c r="Z403" s="1329">
        <f t="shared" si="78"/>
        <v>0</v>
      </c>
      <c r="AA403" s="1329">
        <f t="shared" si="79"/>
        <v>0</v>
      </c>
      <c r="AB403" s="1329"/>
      <c r="AC403" s="1329">
        <f t="shared" si="80"/>
        <v>0</v>
      </c>
      <c r="AD403" s="1329"/>
      <c r="AE403" s="1329">
        <f t="shared" si="81"/>
        <v>0</v>
      </c>
      <c r="AF403" s="1329">
        <f t="shared" si="82"/>
        <v>0</v>
      </c>
      <c r="AG403" s="1330">
        <f t="shared" si="72"/>
        <v>0</v>
      </c>
      <c r="AH403" s="1330">
        <f t="shared" si="73"/>
        <v>0</v>
      </c>
    </row>
    <row r="404" spans="1:34">
      <c r="B404" s="1687"/>
      <c r="C404" s="1687"/>
      <c r="D404" s="1687"/>
      <c r="E404" s="2152"/>
      <c r="F404" s="1326"/>
      <c r="G404" s="1327"/>
      <c r="H404" s="1326"/>
      <c r="I404" s="1327"/>
      <c r="J404" s="1687"/>
      <c r="K404" s="1687"/>
      <c r="L404" s="1687"/>
      <c r="M404" s="1328"/>
      <c r="N404" s="1328"/>
      <c r="O404" s="1687"/>
      <c r="P404" s="1687"/>
      <c r="Q404" s="1687"/>
      <c r="R404" s="1326"/>
      <c r="S404" s="1327"/>
      <c r="T404" s="1326"/>
      <c r="U404" s="1326"/>
      <c r="V404" s="1329">
        <f t="shared" si="74"/>
        <v>0</v>
      </c>
      <c r="W404" s="1329">
        <f t="shared" si="75"/>
        <v>0</v>
      </c>
      <c r="X404" s="1329">
        <f t="shared" si="76"/>
        <v>0</v>
      </c>
      <c r="Y404" s="1329">
        <f t="shared" si="77"/>
        <v>0</v>
      </c>
      <c r="Z404" s="1329">
        <f t="shared" si="78"/>
        <v>0</v>
      </c>
      <c r="AA404" s="1329">
        <f t="shared" si="79"/>
        <v>0</v>
      </c>
      <c r="AB404" s="1329"/>
      <c r="AC404" s="1329">
        <f t="shared" si="80"/>
        <v>0</v>
      </c>
      <c r="AD404" s="1329"/>
      <c r="AE404" s="1329">
        <f t="shared" si="81"/>
        <v>0</v>
      </c>
      <c r="AF404" s="1329">
        <f t="shared" si="82"/>
        <v>0</v>
      </c>
      <c r="AG404" s="1330">
        <f t="shared" si="72"/>
        <v>0</v>
      </c>
      <c r="AH404" s="1330">
        <f t="shared" si="73"/>
        <v>0</v>
      </c>
    </row>
    <row r="405" spans="1:34">
      <c r="B405" s="1687"/>
      <c r="C405" s="1687"/>
      <c r="D405" s="1687"/>
      <c r="E405" s="2152"/>
      <c r="F405" s="1326"/>
      <c r="G405" s="1327"/>
      <c r="H405" s="1326"/>
      <c r="I405" s="1327"/>
      <c r="J405" s="1687"/>
      <c r="K405" s="1687"/>
      <c r="L405" s="1687"/>
      <c r="M405" s="1328"/>
      <c r="N405" s="1328"/>
      <c r="O405" s="1687"/>
      <c r="P405" s="1687"/>
      <c r="Q405" s="1687"/>
      <c r="R405" s="1326"/>
      <c r="S405" s="1327"/>
      <c r="T405" s="1326"/>
      <c r="U405" s="1326"/>
      <c r="V405" s="1329">
        <f t="shared" si="74"/>
        <v>0</v>
      </c>
      <c r="W405" s="1329">
        <f t="shared" si="75"/>
        <v>0</v>
      </c>
      <c r="X405" s="1329">
        <f t="shared" si="76"/>
        <v>0</v>
      </c>
      <c r="Y405" s="1329">
        <f t="shared" si="77"/>
        <v>0</v>
      </c>
      <c r="Z405" s="1329">
        <f t="shared" si="78"/>
        <v>0</v>
      </c>
      <c r="AA405" s="1329">
        <f t="shared" si="79"/>
        <v>0</v>
      </c>
      <c r="AB405" s="1329"/>
      <c r="AC405" s="1329">
        <f t="shared" si="80"/>
        <v>0</v>
      </c>
      <c r="AD405" s="1329"/>
      <c r="AE405" s="1329">
        <f t="shared" si="81"/>
        <v>0</v>
      </c>
      <c r="AF405" s="1329">
        <f t="shared" si="82"/>
        <v>0</v>
      </c>
      <c r="AG405" s="1330">
        <f t="shared" si="72"/>
        <v>0</v>
      </c>
      <c r="AH405" s="1330">
        <f t="shared" si="73"/>
        <v>0</v>
      </c>
    </row>
    <row r="406" spans="1:34">
      <c r="B406" s="1687"/>
      <c r="C406" s="1687"/>
      <c r="D406" s="1687"/>
      <c r="E406" s="2152"/>
      <c r="F406" s="1326"/>
      <c r="G406" s="1327"/>
      <c r="H406" s="1326"/>
      <c r="I406" s="1327"/>
      <c r="J406" s="1687"/>
      <c r="K406" s="1687"/>
      <c r="L406" s="1687"/>
      <c r="M406" s="1328"/>
      <c r="N406" s="1328"/>
      <c r="O406" s="1687"/>
      <c r="P406" s="1687"/>
      <c r="Q406" s="1687"/>
      <c r="R406" s="1326"/>
      <c r="S406" s="1327"/>
      <c r="T406" s="1326"/>
      <c r="U406" s="1326"/>
      <c r="V406" s="1329">
        <f t="shared" si="74"/>
        <v>0</v>
      </c>
      <c r="W406" s="1329">
        <f t="shared" si="75"/>
        <v>0</v>
      </c>
      <c r="X406" s="1329">
        <f t="shared" si="76"/>
        <v>0</v>
      </c>
      <c r="Y406" s="1329">
        <f t="shared" si="77"/>
        <v>0</v>
      </c>
      <c r="Z406" s="1329">
        <f t="shared" si="78"/>
        <v>0</v>
      </c>
      <c r="AA406" s="1329">
        <f t="shared" si="79"/>
        <v>0</v>
      </c>
      <c r="AB406" s="1329"/>
      <c r="AC406" s="1329">
        <f t="shared" si="80"/>
        <v>0</v>
      </c>
      <c r="AD406" s="1329"/>
      <c r="AE406" s="1329">
        <f t="shared" si="81"/>
        <v>0</v>
      </c>
      <c r="AF406" s="1329">
        <f t="shared" si="82"/>
        <v>0</v>
      </c>
      <c r="AG406" s="1330">
        <f t="shared" si="72"/>
        <v>0</v>
      </c>
      <c r="AH406" s="1330">
        <f t="shared" si="73"/>
        <v>0</v>
      </c>
    </row>
    <row r="407" spans="1:34">
      <c r="B407" s="1687"/>
      <c r="C407" s="1687"/>
      <c r="D407" s="1687"/>
      <c r="E407" s="2152"/>
      <c r="F407" s="1326"/>
      <c r="G407" s="1327"/>
      <c r="H407" s="1326"/>
      <c r="I407" s="1327"/>
      <c r="J407" s="1687"/>
      <c r="K407" s="1687"/>
      <c r="L407" s="1687"/>
      <c r="M407" s="1328"/>
      <c r="N407" s="1328"/>
      <c r="O407" s="1687"/>
      <c r="P407" s="1687"/>
      <c r="Q407" s="1687"/>
      <c r="R407" s="1326"/>
      <c r="S407" s="1327"/>
      <c r="T407" s="1326"/>
      <c r="U407" s="1326"/>
      <c r="V407" s="1329">
        <f t="shared" si="74"/>
        <v>0</v>
      </c>
      <c r="W407" s="1329">
        <f t="shared" si="75"/>
        <v>0</v>
      </c>
      <c r="X407" s="1329">
        <f t="shared" si="76"/>
        <v>0</v>
      </c>
      <c r="Y407" s="1329">
        <f t="shared" si="77"/>
        <v>0</v>
      </c>
      <c r="Z407" s="1329">
        <f t="shared" si="78"/>
        <v>0</v>
      </c>
      <c r="AA407" s="1329">
        <f t="shared" si="79"/>
        <v>0</v>
      </c>
      <c r="AB407" s="1329"/>
      <c r="AC407" s="1329">
        <f t="shared" si="80"/>
        <v>0</v>
      </c>
      <c r="AD407" s="1329"/>
      <c r="AE407" s="1329">
        <f t="shared" si="81"/>
        <v>0</v>
      </c>
      <c r="AF407" s="1329">
        <f t="shared" si="82"/>
        <v>0</v>
      </c>
      <c r="AG407" s="1330">
        <f t="shared" si="72"/>
        <v>0</v>
      </c>
      <c r="AH407" s="1330">
        <f t="shared" si="73"/>
        <v>0</v>
      </c>
    </row>
    <row r="408" spans="1:34">
      <c r="B408" s="1687"/>
      <c r="C408" s="1687"/>
      <c r="D408" s="1687"/>
      <c r="E408" s="2152"/>
      <c r="F408" s="1326"/>
      <c r="G408" s="1327"/>
      <c r="H408" s="1326"/>
      <c r="I408" s="1327"/>
      <c r="J408" s="1687"/>
      <c r="K408" s="1687"/>
      <c r="L408" s="1687"/>
      <c r="M408" s="1328"/>
      <c r="N408" s="1328"/>
      <c r="O408" s="1687"/>
      <c r="P408" s="1687"/>
      <c r="Q408" s="1687"/>
      <c r="R408" s="1326"/>
      <c r="S408" s="1327"/>
      <c r="T408" s="1326"/>
      <c r="U408" s="1326"/>
      <c r="V408" s="1329">
        <f t="shared" si="74"/>
        <v>0</v>
      </c>
      <c r="W408" s="1329">
        <f t="shared" si="75"/>
        <v>0</v>
      </c>
      <c r="X408" s="1329">
        <f t="shared" si="76"/>
        <v>0</v>
      </c>
      <c r="Y408" s="1329">
        <f t="shared" si="77"/>
        <v>0</v>
      </c>
      <c r="Z408" s="1329">
        <f t="shared" si="78"/>
        <v>0</v>
      </c>
      <c r="AA408" s="1329">
        <f t="shared" si="79"/>
        <v>0</v>
      </c>
      <c r="AB408" s="1329"/>
      <c r="AC408" s="1329">
        <f t="shared" si="80"/>
        <v>0</v>
      </c>
      <c r="AD408" s="1329"/>
      <c r="AE408" s="1329">
        <f t="shared" si="81"/>
        <v>0</v>
      </c>
      <c r="AF408" s="1329">
        <f t="shared" si="82"/>
        <v>0</v>
      </c>
      <c r="AG408" s="1330">
        <f t="shared" si="72"/>
        <v>0</v>
      </c>
      <c r="AH408" s="1330">
        <f t="shared" si="73"/>
        <v>0</v>
      </c>
    </row>
    <row r="409" spans="1:34">
      <c r="B409" s="1687"/>
      <c r="C409" s="1687"/>
      <c r="D409" s="1687"/>
      <c r="E409" s="2152"/>
      <c r="F409" s="1326"/>
      <c r="G409" s="1327"/>
      <c r="H409" s="1326"/>
      <c r="I409" s="1327"/>
      <c r="J409" s="1687"/>
      <c r="K409" s="1687"/>
      <c r="L409" s="1687"/>
      <c r="M409" s="1328"/>
      <c r="N409" s="1328"/>
      <c r="O409" s="1687"/>
      <c r="P409" s="1687"/>
      <c r="Q409" s="1687"/>
      <c r="R409" s="1326"/>
      <c r="S409" s="1327"/>
      <c r="T409" s="1326"/>
      <c r="U409" s="1326"/>
      <c r="V409" s="1329">
        <f t="shared" si="74"/>
        <v>0</v>
      </c>
      <c r="W409" s="1329">
        <f t="shared" si="75"/>
        <v>0</v>
      </c>
      <c r="X409" s="1329">
        <f t="shared" si="76"/>
        <v>0</v>
      </c>
      <c r="Y409" s="1329">
        <f t="shared" si="77"/>
        <v>0</v>
      </c>
      <c r="Z409" s="1329">
        <f t="shared" si="78"/>
        <v>0</v>
      </c>
      <c r="AA409" s="1329">
        <f t="shared" si="79"/>
        <v>0</v>
      </c>
      <c r="AB409" s="1329"/>
      <c r="AC409" s="1329">
        <f t="shared" si="80"/>
        <v>0</v>
      </c>
      <c r="AD409" s="1329"/>
      <c r="AE409" s="1329">
        <f t="shared" si="81"/>
        <v>0</v>
      </c>
      <c r="AF409" s="1329">
        <f t="shared" si="82"/>
        <v>0</v>
      </c>
      <c r="AG409" s="1330">
        <f t="shared" si="72"/>
        <v>0</v>
      </c>
      <c r="AH409" s="1330">
        <f t="shared" si="73"/>
        <v>0</v>
      </c>
    </row>
    <row r="410" spans="1:34">
      <c r="B410" s="1687"/>
      <c r="C410" s="1687"/>
      <c r="D410" s="1687"/>
      <c r="E410" s="2152"/>
      <c r="F410" s="1326"/>
      <c r="G410" s="1327"/>
      <c r="H410" s="1326"/>
      <c r="I410" s="1327"/>
      <c r="J410" s="1687"/>
      <c r="K410" s="1687"/>
      <c r="L410" s="1687"/>
      <c r="M410" s="1328"/>
      <c r="N410" s="1328"/>
      <c r="O410" s="1687"/>
      <c r="P410" s="1687"/>
      <c r="Q410" s="1687"/>
      <c r="R410" s="1326"/>
      <c r="S410" s="1327"/>
      <c r="T410" s="1326"/>
      <c r="U410" s="1326"/>
      <c r="V410" s="1329">
        <f t="shared" si="74"/>
        <v>0</v>
      </c>
      <c r="W410" s="1329">
        <f t="shared" si="75"/>
        <v>0</v>
      </c>
      <c r="X410" s="1329">
        <f t="shared" si="76"/>
        <v>0</v>
      </c>
      <c r="Y410" s="1329">
        <f t="shared" si="77"/>
        <v>0</v>
      </c>
      <c r="Z410" s="1329">
        <f t="shared" si="78"/>
        <v>0</v>
      </c>
      <c r="AA410" s="1329">
        <f t="shared" si="79"/>
        <v>0</v>
      </c>
      <c r="AB410" s="1329"/>
      <c r="AC410" s="1329">
        <f t="shared" si="80"/>
        <v>0</v>
      </c>
      <c r="AD410" s="1329"/>
      <c r="AE410" s="1329">
        <f t="shared" si="81"/>
        <v>0</v>
      </c>
      <c r="AF410" s="1329">
        <f t="shared" si="82"/>
        <v>0</v>
      </c>
      <c r="AG410" s="1330">
        <f t="shared" si="72"/>
        <v>0</v>
      </c>
      <c r="AH410" s="1330">
        <f t="shared" si="73"/>
        <v>0</v>
      </c>
    </row>
    <row r="411" spans="1:34">
      <c r="B411" s="1687"/>
      <c r="C411" s="1687"/>
      <c r="D411" s="1687"/>
      <c r="E411" s="2152"/>
      <c r="F411" s="1326"/>
      <c r="G411" s="1327"/>
      <c r="H411" s="1326"/>
      <c r="I411" s="1327"/>
      <c r="J411" s="1687"/>
      <c r="K411" s="1687"/>
      <c r="L411" s="1687"/>
      <c r="M411" s="1328"/>
      <c r="N411" s="1328"/>
      <c r="O411" s="1687"/>
      <c r="P411" s="1687"/>
      <c r="Q411" s="1687"/>
      <c r="R411" s="1326"/>
      <c r="S411" s="1327"/>
      <c r="T411" s="1326"/>
      <c r="U411" s="1326"/>
      <c r="V411" s="1329">
        <f t="shared" si="74"/>
        <v>0</v>
      </c>
      <c r="W411" s="1329">
        <f t="shared" si="75"/>
        <v>0</v>
      </c>
      <c r="X411" s="1329">
        <f t="shared" si="76"/>
        <v>0</v>
      </c>
      <c r="Y411" s="1329">
        <f t="shared" si="77"/>
        <v>0</v>
      </c>
      <c r="Z411" s="1329">
        <f t="shared" si="78"/>
        <v>0</v>
      </c>
      <c r="AA411" s="1329">
        <f t="shared" si="79"/>
        <v>0</v>
      </c>
      <c r="AB411" s="1329"/>
      <c r="AC411" s="1329">
        <f t="shared" si="80"/>
        <v>0</v>
      </c>
      <c r="AD411" s="1329"/>
      <c r="AE411" s="1329">
        <f t="shared" si="81"/>
        <v>0</v>
      </c>
      <c r="AF411" s="1329">
        <f t="shared" si="82"/>
        <v>0</v>
      </c>
      <c r="AG411" s="1330">
        <f t="shared" si="72"/>
        <v>0</v>
      </c>
      <c r="AH411" s="1330">
        <f t="shared" si="73"/>
        <v>0</v>
      </c>
    </row>
    <row r="412" spans="1:34">
      <c r="B412" s="1687"/>
      <c r="C412" s="1687"/>
      <c r="D412" s="1687"/>
      <c r="E412" s="2152"/>
      <c r="F412" s="1326"/>
      <c r="G412" s="1327"/>
      <c r="H412" s="1326"/>
      <c r="I412" s="1327"/>
      <c r="J412" s="1687"/>
      <c r="K412" s="1687"/>
      <c r="L412" s="1687"/>
      <c r="M412" s="1328"/>
      <c r="N412" s="1328"/>
      <c r="O412" s="1687"/>
      <c r="P412" s="1687"/>
      <c r="Q412" s="1687"/>
      <c r="R412" s="1326"/>
      <c r="S412" s="1327"/>
      <c r="T412" s="1326"/>
      <c r="U412" s="1326"/>
      <c r="V412" s="1329">
        <f t="shared" si="74"/>
        <v>0</v>
      </c>
      <c r="W412" s="1329">
        <f t="shared" si="75"/>
        <v>0</v>
      </c>
      <c r="X412" s="1329">
        <f t="shared" si="76"/>
        <v>0</v>
      </c>
      <c r="Y412" s="1329">
        <f t="shared" si="77"/>
        <v>0</v>
      </c>
      <c r="Z412" s="1329">
        <f t="shared" si="78"/>
        <v>0</v>
      </c>
      <c r="AA412" s="1329">
        <f t="shared" si="79"/>
        <v>0</v>
      </c>
      <c r="AB412" s="1329"/>
      <c r="AC412" s="1329">
        <f t="shared" si="80"/>
        <v>0</v>
      </c>
      <c r="AD412" s="1329"/>
      <c r="AE412" s="1329">
        <f t="shared" si="81"/>
        <v>0</v>
      </c>
      <c r="AF412" s="1329">
        <f t="shared" si="82"/>
        <v>0</v>
      </c>
      <c r="AG412" s="1330">
        <f t="shared" si="72"/>
        <v>0</v>
      </c>
      <c r="AH412" s="1330">
        <f t="shared" si="73"/>
        <v>0</v>
      </c>
    </row>
    <row r="413" spans="1:34">
      <c r="B413" s="1687"/>
      <c r="C413" s="1687"/>
      <c r="D413" s="1687"/>
      <c r="E413" s="2152"/>
      <c r="F413" s="1326"/>
      <c r="G413" s="1327"/>
      <c r="H413" s="1326"/>
      <c r="I413" s="1327"/>
      <c r="J413" s="1687"/>
      <c r="K413" s="1687"/>
      <c r="L413" s="1687"/>
      <c r="M413" s="1328"/>
      <c r="N413" s="1328"/>
      <c r="O413" s="1687"/>
      <c r="P413" s="1687"/>
      <c r="Q413" s="1687"/>
      <c r="R413" s="1326"/>
      <c r="S413" s="1327"/>
      <c r="T413" s="1326"/>
      <c r="U413" s="1326"/>
      <c r="V413" s="1329">
        <f t="shared" si="74"/>
        <v>0</v>
      </c>
      <c r="W413" s="1329">
        <f t="shared" si="75"/>
        <v>0</v>
      </c>
      <c r="X413" s="1329">
        <f t="shared" si="76"/>
        <v>0</v>
      </c>
      <c r="Y413" s="1329">
        <f t="shared" si="77"/>
        <v>0</v>
      </c>
      <c r="Z413" s="1329">
        <f t="shared" si="78"/>
        <v>0</v>
      </c>
      <c r="AA413" s="1329">
        <f t="shared" si="79"/>
        <v>0</v>
      </c>
      <c r="AB413" s="1329"/>
      <c r="AC413" s="1329">
        <f t="shared" si="80"/>
        <v>0</v>
      </c>
      <c r="AD413" s="1329"/>
      <c r="AE413" s="1329">
        <f t="shared" si="81"/>
        <v>0</v>
      </c>
      <c r="AF413" s="1329">
        <f t="shared" si="82"/>
        <v>0</v>
      </c>
      <c r="AG413" s="1330">
        <f t="shared" si="72"/>
        <v>0</v>
      </c>
      <c r="AH413" s="1330">
        <f t="shared" si="73"/>
        <v>0</v>
      </c>
    </row>
    <row r="414" spans="1:34" ht="13.5" customHeight="1">
      <c r="B414" s="1687"/>
      <c r="C414" s="1687"/>
      <c r="D414" s="1687"/>
      <c r="E414" s="2152"/>
      <c r="F414" s="1326"/>
      <c r="G414" s="1327"/>
      <c r="H414" s="1326"/>
      <c r="I414" s="1327"/>
      <c r="J414" s="1687"/>
      <c r="K414" s="1687"/>
      <c r="L414" s="1687"/>
      <c r="M414" s="1328"/>
      <c r="N414" s="1328"/>
      <c r="O414" s="1687"/>
      <c r="P414" s="1687"/>
      <c r="Q414" s="1687"/>
      <c r="R414" s="1326"/>
      <c r="S414" s="1327"/>
      <c r="T414" s="1326"/>
      <c r="U414" s="1326"/>
      <c r="V414" s="1329">
        <f t="shared" si="74"/>
        <v>0</v>
      </c>
      <c r="W414" s="1329">
        <f t="shared" si="75"/>
        <v>0</v>
      </c>
      <c r="X414" s="1329">
        <f t="shared" si="76"/>
        <v>0</v>
      </c>
      <c r="Y414" s="1329">
        <f t="shared" si="77"/>
        <v>0</v>
      </c>
      <c r="Z414" s="1329">
        <f t="shared" si="78"/>
        <v>0</v>
      </c>
      <c r="AA414" s="1329">
        <f t="shared" si="79"/>
        <v>0</v>
      </c>
      <c r="AB414" s="1329"/>
      <c r="AC414" s="1329">
        <f t="shared" si="80"/>
        <v>0</v>
      </c>
      <c r="AD414" s="1329"/>
      <c r="AE414" s="1329">
        <f t="shared" si="81"/>
        <v>0</v>
      </c>
      <c r="AF414" s="1329">
        <f t="shared" si="82"/>
        <v>0</v>
      </c>
      <c r="AG414" s="1330">
        <f t="shared" si="72"/>
        <v>0</v>
      </c>
      <c r="AH414" s="1330">
        <f t="shared" si="73"/>
        <v>0</v>
      </c>
    </row>
    <row r="415" spans="1:34">
      <c r="B415" s="1687"/>
      <c r="C415" s="1687"/>
      <c r="D415" s="1687"/>
      <c r="E415" s="2152"/>
      <c r="F415" s="1326"/>
      <c r="G415" s="1327"/>
      <c r="H415" s="1326"/>
      <c r="I415" s="1327"/>
      <c r="J415" s="1687"/>
      <c r="K415" s="1687"/>
      <c r="L415" s="1687"/>
      <c r="M415" s="1328"/>
      <c r="N415" s="1328"/>
      <c r="O415" s="1687"/>
      <c r="P415" s="1687"/>
      <c r="Q415" s="1687"/>
      <c r="R415" s="1326"/>
      <c r="S415" s="1327"/>
      <c r="T415" s="1326"/>
      <c r="U415" s="1326"/>
      <c r="V415" s="1329">
        <f t="shared" si="63"/>
        <v>0</v>
      </c>
      <c r="W415" s="1329">
        <f t="shared" si="64"/>
        <v>0</v>
      </c>
      <c r="X415" s="1329">
        <f t="shared" si="65"/>
        <v>0</v>
      </c>
      <c r="Y415" s="1329">
        <f t="shared" si="66"/>
        <v>0</v>
      </c>
      <c r="Z415" s="1329">
        <f t="shared" si="67"/>
        <v>0</v>
      </c>
      <c r="AA415" s="1329">
        <f t="shared" si="68"/>
        <v>0</v>
      </c>
      <c r="AB415" s="1329"/>
      <c r="AC415" s="1329">
        <f t="shared" si="69"/>
        <v>0</v>
      </c>
      <c r="AD415" s="1329"/>
      <c r="AE415" s="1329">
        <f t="shared" si="70"/>
        <v>0</v>
      </c>
      <c r="AF415" s="1329">
        <f t="shared" si="71"/>
        <v>0</v>
      </c>
      <c r="AG415" s="1330">
        <f t="shared" si="72"/>
        <v>0</v>
      </c>
      <c r="AH415" s="1330">
        <f t="shared" si="73"/>
        <v>0</v>
      </c>
    </row>
    <row r="416" spans="1:34">
      <c r="A416" s="1100" t="s">
        <v>718</v>
      </c>
      <c r="B416" s="1315"/>
      <c r="C416" s="1315"/>
      <c r="D416" s="1315"/>
      <c r="I416" s="1331"/>
      <c r="J416" s="1331"/>
      <c r="K416" s="1331"/>
      <c r="L416" s="1331"/>
      <c r="O416" s="1331"/>
      <c r="P416" s="1331"/>
      <c r="Q416" s="1331"/>
      <c r="S416" s="1331"/>
      <c r="T416" s="1331"/>
      <c r="U416" s="1331"/>
    </row>
    <row r="417" spans="1:21">
      <c r="A417" s="1156" t="s">
        <v>724</v>
      </c>
      <c r="B417" s="1332"/>
      <c r="C417" s="1332"/>
      <c r="D417" s="1332"/>
      <c r="E417" s="1333"/>
      <c r="F417" s="1333"/>
      <c r="G417" s="1333"/>
      <c r="H417" s="1333"/>
      <c r="I417" s="1333"/>
      <c r="J417" s="1334"/>
      <c r="K417" s="1334"/>
      <c r="L417" s="1333"/>
      <c r="O417" s="1333"/>
      <c r="P417" s="1333"/>
      <c r="Q417" s="1333"/>
    </row>
    <row r="418" spans="1:21" s="1097" customFormat="1" ht="18" hidden="1" customHeight="1">
      <c r="A418" s="1096" t="s">
        <v>1532</v>
      </c>
      <c r="B418" s="1118">
        <v>2</v>
      </c>
      <c r="C418" s="1118">
        <v>1</v>
      </c>
      <c r="D418" s="1119">
        <v>12</v>
      </c>
      <c r="E418" s="1182">
        <v>2</v>
      </c>
      <c r="F418" s="1120">
        <v>3</v>
      </c>
      <c r="G418" s="1121">
        <v>4</v>
      </c>
      <c r="H418" s="1122">
        <v>4</v>
      </c>
      <c r="I418" s="1122">
        <v>4</v>
      </c>
      <c r="J418" s="1123">
        <v>4</v>
      </c>
      <c r="K418" s="1123">
        <v>5</v>
      </c>
      <c r="L418" s="1124">
        <v>4</v>
      </c>
      <c r="M418" s="1124">
        <v>6</v>
      </c>
      <c r="N418" s="1125">
        <v>4</v>
      </c>
      <c r="O418" s="1125">
        <v>7</v>
      </c>
    </row>
    <row r="419" spans="1:21" s="1097" customFormat="1" ht="18" hidden="1" customHeight="1">
      <c r="A419" s="1096" t="str">
        <f>Index!$A$2</f>
        <v>V20181222</v>
      </c>
      <c r="B419" s="1100" t="str">
        <f t="shared" ref="B419:I419" si="83">$A$418&amp;"_"&amp;B430</f>
        <v>F-40.02_010</v>
      </c>
      <c r="C419" s="1100" t="str">
        <f t="shared" si="83"/>
        <v>F-40.02_020</v>
      </c>
      <c r="D419" s="1100" t="str">
        <f t="shared" si="83"/>
        <v>F-40.02_030</v>
      </c>
      <c r="E419" s="1100" t="str">
        <f t="shared" si="83"/>
        <v>F-40.02_040</v>
      </c>
      <c r="F419" s="1100" t="str">
        <f t="shared" si="83"/>
        <v>F-40.02_050</v>
      </c>
      <c r="G419" s="1100" t="str">
        <f t="shared" si="83"/>
        <v>F-40.02_060</v>
      </c>
      <c r="H419" s="1100" t="str">
        <f t="shared" si="83"/>
        <v>F-40.02_070</v>
      </c>
      <c r="I419" s="1100" t="str">
        <f t="shared" si="83"/>
        <v>F-40.02_080</v>
      </c>
      <c r="J419" s="1100"/>
      <c r="K419" s="1100"/>
      <c r="L419" s="1100"/>
      <c r="M419" s="1100"/>
      <c r="N419" s="1101"/>
    </row>
    <row r="420" spans="1:21" s="1097" customFormat="1" ht="18" hidden="1" customHeight="1">
      <c r="A420" s="1096" t="str">
        <f>"R:A1:AB"&amp;ROW(A870)+1</f>
        <v>R:A1:AB871</v>
      </c>
      <c r="B420" s="1102"/>
      <c r="C420" s="1103"/>
      <c r="D420" s="1104"/>
      <c r="E420" s="1105"/>
      <c r="F420" s="1106"/>
      <c r="G420" s="1107"/>
      <c r="H420" s="1107"/>
      <c r="I420" s="1107"/>
      <c r="J420" s="1107"/>
      <c r="K420" s="1107"/>
    </row>
    <row r="421" spans="1:21" s="1097" customFormat="1" ht="18" hidden="1" customHeight="1">
      <c r="A421" s="1100" t="s">
        <v>718</v>
      </c>
      <c r="B421" s="1102"/>
      <c r="C421" s="1103"/>
      <c r="D421" s="1108"/>
      <c r="E421" s="1109"/>
      <c r="F421" s="1110"/>
      <c r="G421" s="1111">
        <f>N422</f>
        <v>0</v>
      </c>
      <c r="H421" s="1107"/>
      <c r="I421" s="1107"/>
      <c r="J421" s="1107"/>
      <c r="K421" s="1107"/>
    </row>
    <row r="422" spans="1:21" s="1097" customFormat="1" ht="18" hidden="1" customHeight="1">
      <c r="A422" s="1100" t="s">
        <v>718</v>
      </c>
      <c r="B422" s="1102"/>
      <c r="C422" s="1103"/>
      <c r="D422" s="1112"/>
      <c r="E422" s="1113"/>
      <c r="F422" s="1114"/>
      <c r="N422" s="1097">
        <f>COUNTIF(J431:N852,"&lt;&gt;0")-COUNTBLANK(J431:N852)</f>
        <v>0</v>
      </c>
    </row>
    <row r="423" spans="1:21" s="1116" customFormat="1">
      <c r="A423" s="1100" t="s">
        <v>718</v>
      </c>
      <c r="B423" s="1115"/>
    </row>
    <row r="424" spans="1:21" s="1116" customFormat="1">
      <c r="A424" s="1100" t="s">
        <v>718</v>
      </c>
      <c r="B424" s="1115"/>
    </row>
    <row r="425" spans="1:21" s="1116" customFormat="1" ht="24" customHeight="1">
      <c r="A425" s="1100" t="s">
        <v>718</v>
      </c>
      <c r="B425" s="1115"/>
    </row>
    <row r="426" spans="1:21">
      <c r="A426" s="1100" t="s">
        <v>718</v>
      </c>
      <c r="B426" s="1318" t="s">
        <v>1336</v>
      </c>
      <c r="C426" s="1332"/>
      <c r="D426" s="1332"/>
      <c r="E426" s="1333"/>
      <c r="F426" s="1333"/>
      <c r="G426" s="1333"/>
      <c r="H426" s="1462"/>
      <c r="I426" s="1334"/>
      <c r="J426" s="1334"/>
      <c r="L426" s="1335"/>
      <c r="O426" s="1335"/>
      <c r="P426" s="1335"/>
      <c r="Q426" s="1333"/>
      <c r="R426" s="1333"/>
      <c r="S426" s="1333"/>
      <c r="T426" s="1333"/>
      <c r="U426" s="1333"/>
    </row>
    <row r="427" spans="1:21">
      <c r="A427" s="1100" t="s">
        <v>718</v>
      </c>
      <c r="B427" s="1315"/>
      <c r="C427" s="1315"/>
      <c r="D427" s="1315"/>
      <c r="E427" s="1315"/>
      <c r="F427" s="1315"/>
      <c r="G427" s="1315"/>
      <c r="H427" s="1315"/>
      <c r="I427" s="1315"/>
      <c r="J427" s="1315"/>
      <c r="K427" s="1315"/>
      <c r="L427" s="1336"/>
      <c r="M427" s="1315"/>
      <c r="N427" s="1315"/>
      <c r="O427" s="1315"/>
      <c r="P427" s="1315"/>
      <c r="Q427" s="1315"/>
      <c r="R427" s="1315"/>
      <c r="S427" s="1315"/>
      <c r="T427" s="1315"/>
      <c r="U427" s="1315"/>
    </row>
    <row r="428" spans="1:21" ht="31.5">
      <c r="A428" s="1100" t="s">
        <v>718</v>
      </c>
      <c r="B428" s="1323" t="s">
        <v>1337</v>
      </c>
      <c r="C428" s="1323" t="s">
        <v>1318</v>
      </c>
      <c r="D428" s="1323" t="s">
        <v>1338</v>
      </c>
      <c r="E428" s="1323" t="s">
        <v>1339</v>
      </c>
      <c r="F428" s="1323" t="s">
        <v>1340</v>
      </c>
      <c r="G428" s="1323" t="s">
        <v>1341</v>
      </c>
      <c r="H428" s="1323" t="s">
        <v>57</v>
      </c>
      <c r="I428" s="1323" t="s">
        <v>1333</v>
      </c>
      <c r="J428" s="1315"/>
      <c r="L428" s="1335"/>
      <c r="M428" s="1335"/>
      <c r="N428" s="1335"/>
      <c r="O428" s="1335"/>
      <c r="P428" s="1315"/>
      <c r="Q428" s="1315"/>
      <c r="R428" s="1315"/>
      <c r="S428" s="1315"/>
      <c r="T428" s="1315"/>
      <c r="U428" s="1315"/>
    </row>
    <row r="429" spans="1:21" ht="31.5">
      <c r="A429" s="1100" t="s">
        <v>718</v>
      </c>
      <c r="B429" s="1324" t="s">
        <v>1606</v>
      </c>
      <c r="C429" s="1324" t="s">
        <v>1607</v>
      </c>
      <c r="D429" s="1324" t="s">
        <v>1608</v>
      </c>
      <c r="E429" s="1324" t="s">
        <v>1608</v>
      </c>
      <c r="F429" s="1324"/>
      <c r="G429" s="1324" t="s">
        <v>1609</v>
      </c>
      <c r="H429" s="1324" t="s">
        <v>1610</v>
      </c>
      <c r="I429" s="1324" t="s">
        <v>1611</v>
      </c>
      <c r="J429" s="1315"/>
      <c r="K429" s="1335"/>
      <c r="L429" s="1335"/>
      <c r="M429" s="1335"/>
      <c r="N429" s="1335"/>
      <c r="O429" s="1335"/>
      <c r="P429" s="1315"/>
      <c r="Q429" s="1315"/>
      <c r="R429" s="1315"/>
      <c r="S429" s="1315"/>
      <c r="T429" s="1315"/>
      <c r="U429" s="1315"/>
    </row>
    <row r="430" spans="1:21">
      <c r="A430" s="1100" t="s">
        <v>718</v>
      </c>
      <c r="B430" s="1325" t="s">
        <v>292</v>
      </c>
      <c r="C430" s="1325" t="s">
        <v>293</v>
      </c>
      <c r="D430" s="1325" t="s">
        <v>294</v>
      </c>
      <c r="E430" s="1325" t="s">
        <v>295</v>
      </c>
      <c r="F430" s="1325" t="s">
        <v>296</v>
      </c>
      <c r="G430" s="1325" t="s">
        <v>297</v>
      </c>
      <c r="H430" s="1325" t="s">
        <v>298</v>
      </c>
      <c r="I430" s="1325" t="s">
        <v>299</v>
      </c>
      <c r="J430" s="1315"/>
      <c r="K430" s="1335"/>
      <c r="L430" s="1335"/>
      <c r="M430" s="1335"/>
      <c r="N430" s="1335"/>
      <c r="O430" s="1335"/>
      <c r="P430" s="1315"/>
      <c r="Q430" s="1315"/>
      <c r="R430" s="1315"/>
      <c r="S430" s="1315"/>
      <c r="T430" s="1315"/>
      <c r="U430" s="1315"/>
    </row>
    <row r="431" spans="1:21">
      <c r="A431" s="1156" t="str">
        <f>$A$418&amp;"_"&amp;"010"</f>
        <v>F-40.02_010</v>
      </c>
      <c r="B431" s="1946"/>
      <c r="C431" s="1946"/>
      <c r="D431" s="1946"/>
      <c r="E431" s="1946"/>
      <c r="F431" s="1946"/>
      <c r="G431" s="1947"/>
      <c r="H431" s="1948"/>
      <c r="I431" s="1949"/>
      <c r="J431" s="1329">
        <f>IF(G431&gt;=0,0,"C60&gt;=0")</f>
        <v>0</v>
      </c>
      <c r="K431" s="1329">
        <f>IF(H431&gt;=0,0,"C70&gt;=0")</f>
        <v>0</v>
      </c>
      <c r="L431" s="1329"/>
      <c r="M431" s="1335">
        <f>IF(G431&lt;=1,0,"c60&lt;=1")</f>
        <v>0</v>
      </c>
      <c r="N431" s="1335">
        <f>IF(($G431*100)&gt;100,"C60 Invalid value greater than 100",IF(($G431*100)&lt;&gt;ROUND(($G431*100),2),($G431*100)&amp;": C60 Invalid no. of decimals",0))</f>
        <v>0</v>
      </c>
      <c r="O431" s="1335"/>
      <c r="P431" s="1315"/>
      <c r="Q431" s="1315"/>
      <c r="R431" s="1315"/>
      <c r="S431" s="1315"/>
      <c r="T431" s="1315"/>
      <c r="U431" s="1315"/>
    </row>
    <row r="432" spans="1:21">
      <c r="B432" s="1946"/>
      <c r="C432" s="1946"/>
      <c r="D432" s="1946"/>
      <c r="E432" s="1946"/>
      <c r="F432" s="1946"/>
      <c r="G432" s="1947"/>
      <c r="H432" s="1948"/>
      <c r="I432" s="1949"/>
      <c r="J432" s="1329">
        <f>IF(G432&gt;=0,0,"C60&gt;=0")</f>
        <v>0</v>
      </c>
      <c r="K432" s="1329">
        <f>IF(H432&gt;=0,0,"C70&gt;=0")</f>
        <v>0</v>
      </c>
      <c r="L432" s="1329"/>
      <c r="M432" s="1335">
        <f>IF(G432&lt;=1,0,"c60&lt;=1")</f>
        <v>0</v>
      </c>
      <c r="N432" s="1335">
        <f>IF(($G432*100)&gt;100,"C60 Invalid value greater than 100",IF(($G432*100)&lt;&gt;ROUND(($G432*100),2),($G432*100)&amp;": C60 Invalid no. of decimals",0))</f>
        <v>0</v>
      </c>
      <c r="O432" s="1335"/>
      <c r="P432" s="1315"/>
      <c r="Q432" s="1315"/>
      <c r="R432" s="1315"/>
      <c r="S432" s="1315"/>
      <c r="T432" s="1315"/>
      <c r="U432" s="1315"/>
    </row>
    <row r="433" spans="2:21">
      <c r="B433" s="1946"/>
      <c r="C433" s="1946"/>
      <c r="D433" s="1946"/>
      <c r="E433" s="1946"/>
      <c r="F433" s="1946"/>
      <c r="G433" s="1947"/>
      <c r="H433" s="1948"/>
      <c r="I433" s="1949"/>
      <c r="J433" s="1329">
        <f t="shared" ref="J433:J436" si="84">IF(G433&gt;=0,0,"C60&gt;=0")</f>
        <v>0</v>
      </c>
      <c r="K433" s="1329">
        <f t="shared" ref="K433:K436" si="85">IF(H433&gt;=0,0,"C70&gt;=0")</f>
        <v>0</v>
      </c>
      <c r="L433" s="1329"/>
      <c r="M433" s="1335">
        <f t="shared" ref="M433:M436" si="86">IF(G433&lt;=1,0,"c60&lt;=1")</f>
        <v>0</v>
      </c>
      <c r="N433" s="1335">
        <f t="shared" ref="N433:N496" si="87">IF(($G433*100)&gt;100,"C60 Invalid value greater than 100",IF(($G433*100)&lt;&gt;ROUND(($G433*100),2),($G433*100)&amp;": C60 Invalid no. of decimals",0))</f>
        <v>0</v>
      </c>
      <c r="O433" s="1335"/>
      <c r="P433" s="1315"/>
      <c r="Q433" s="1315"/>
      <c r="R433" s="1315"/>
      <c r="S433" s="1315"/>
      <c r="T433" s="1315"/>
      <c r="U433" s="1315"/>
    </row>
    <row r="434" spans="2:21">
      <c r="B434" s="1946"/>
      <c r="C434" s="1946"/>
      <c r="D434" s="1946"/>
      <c r="E434" s="1946"/>
      <c r="F434" s="1946"/>
      <c r="G434" s="1947"/>
      <c r="H434" s="1948"/>
      <c r="I434" s="1949"/>
      <c r="J434" s="1329">
        <f t="shared" si="84"/>
        <v>0</v>
      </c>
      <c r="K434" s="1329">
        <f t="shared" si="85"/>
        <v>0</v>
      </c>
      <c r="L434" s="1329"/>
      <c r="M434" s="1335">
        <f t="shared" si="86"/>
        <v>0</v>
      </c>
      <c r="N434" s="1335">
        <f t="shared" si="87"/>
        <v>0</v>
      </c>
      <c r="O434" s="1335"/>
      <c r="P434" s="1315"/>
      <c r="Q434" s="1315"/>
      <c r="R434" s="1315"/>
      <c r="S434" s="1315"/>
      <c r="T434" s="1315"/>
      <c r="U434" s="1315"/>
    </row>
    <row r="435" spans="2:21">
      <c r="B435" s="1946"/>
      <c r="C435" s="1946"/>
      <c r="D435" s="1946"/>
      <c r="E435" s="1946"/>
      <c r="F435" s="1946"/>
      <c r="G435" s="1947"/>
      <c r="H435" s="1948"/>
      <c r="I435" s="1949"/>
      <c r="J435" s="1329">
        <f t="shared" si="84"/>
        <v>0</v>
      </c>
      <c r="K435" s="1329">
        <f t="shared" si="85"/>
        <v>0</v>
      </c>
      <c r="L435" s="1329"/>
      <c r="M435" s="1335">
        <f t="shared" si="86"/>
        <v>0</v>
      </c>
      <c r="N435" s="1335">
        <f t="shared" si="87"/>
        <v>0</v>
      </c>
      <c r="O435" s="1335"/>
      <c r="P435" s="1315"/>
      <c r="Q435" s="1315"/>
      <c r="R435" s="1315"/>
      <c r="S435" s="1315"/>
      <c r="T435" s="1315"/>
      <c r="U435" s="1315"/>
    </row>
    <row r="436" spans="2:21">
      <c r="B436" s="1946"/>
      <c r="C436" s="1946"/>
      <c r="D436" s="1946"/>
      <c r="E436" s="1946"/>
      <c r="F436" s="1946"/>
      <c r="G436" s="1947"/>
      <c r="H436" s="1948"/>
      <c r="I436" s="1949"/>
      <c r="J436" s="1329">
        <f t="shared" si="84"/>
        <v>0</v>
      </c>
      <c r="K436" s="1329">
        <f t="shared" si="85"/>
        <v>0</v>
      </c>
      <c r="L436" s="1329"/>
      <c r="M436" s="1335">
        <f t="shared" si="86"/>
        <v>0</v>
      </c>
      <c r="N436" s="1335">
        <f t="shared" si="87"/>
        <v>0</v>
      </c>
      <c r="O436" s="1335"/>
      <c r="P436" s="1315"/>
      <c r="Q436" s="1315"/>
      <c r="R436" s="1315"/>
      <c r="S436" s="1315"/>
      <c r="T436" s="1315"/>
      <c r="U436" s="1315"/>
    </row>
    <row r="437" spans="2:21">
      <c r="B437" s="1946"/>
      <c r="C437" s="1946"/>
      <c r="D437" s="1946"/>
      <c r="E437" s="1946"/>
      <c r="F437" s="1946"/>
      <c r="G437" s="1947"/>
      <c r="H437" s="1948"/>
      <c r="I437" s="1949"/>
      <c r="J437" s="1329">
        <f>IF(G437&gt;=0,0,"C60&gt;=0")</f>
        <v>0</v>
      </c>
      <c r="K437" s="1329">
        <f>IF(H437&gt;=0,0,"C70&gt;=0")</f>
        <v>0</v>
      </c>
      <c r="L437" s="1329"/>
      <c r="M437" s="1335">
        <f>IF(G437&lt;=1,0,"c60&lt;=1")</f>
        <v>0</v>
      </c>
      <c r="N437" s="1335">
        <f>IF(($G437*100)&gt;100,"C60 Invalid value greater than 100",IF(($G437*100)&lt;&gt;ROUND(($G437*100),2),($G437*100)&amp;": C60 Invalid no. of decimals",0))</f>
        <v>0</v>
      </c>
      <c r="O437" s="1335"/>
      <c r="P437" s="1315"/>
      <c r="Q437" s="1315"/>
      <c r="R437" s="1315"/>
      <c r="S437" s="1315"/>
      <c r="T437" s="1315"/>
      <c r="U437" s="1315"/>
    </row>
    <row r="438" spans="2:21">
      <c r="B438" s="1946"/>
      <c r="C438" s="1946"/>
      <c r="D438" s="1946"/>
      <c r="E438" s="1946"/>
      <c r="F438" s="1946"/>
      <c r="G438" s="1947"/>
      <c r="H438" s="1948"/>
      <c r="I438" s="1949"/>
      <c r="J438" s="1329">
        <f t="shared" ref="J438:J441" si="88">IF(G438&gt;=0,0,"C60&gt;=0")</f>
        <v>0</v>
      </c>
      <c r="K438" s="1329">
        <f t="shared" ref="K438:K441" si="89">IF(H438&gt;=0,0,"C70&gt;=0")</f>
        <v>0</v>
      </c>
      <c r="L438" s="1329"/>
      <c r="M438" s="1335">
        <f t="shared" ref="M438:M441" si="90">IF(G438&lt;=1,0,"c60&lt;=1")</f>
        <v>0</v>
      </c>
      <c r="N438" s="1335">
        <f t="shared" si="87"/>
        <v>0</v>
      </c>
      <c r="O438" s="1335"/>
      <c r="P438" s="1315"/>
      <c r="Q438" s="1315"/>
      <c r="R438" s="1315"/>
      <c r="S438" s="1315"/>
      <c r="T438" s="1315"/>
      <c r="U438" s="1315"/>
    </row>
    <row r="439" spans="2:21">
      <c r="B439" s="1946"/>
      <c r="C439" s="1946"/>
      <c r="D439" s="1946"/>
      <c r="E439" s="1946"/>
      <c r="F439" s="1946"/>
      <c r="G439" s="1947"/>
      <c r="H439" s="1948"/>
      <c r="I439" s="1949"/>
      <c r="J439" s="1329">
        <f t="shared" si="88"/>
        <v>0</v>
      </c>
      <c r="K439" s="1329">
        <f t="shared" si="89"/>
        <v>0</v>
      </c>
      <c r="L439" s="1329"/>
      <c r="M439" s="1335">
        <f t="shared" si="90"/>
        <v>0</v>
      </c>
      <c r="N439" s="1335">
        <f t="shared" si="87"/>
        <v>0</v>
      </c>
      <c r="O439" s="1335"/>
      <c r="P439" s="1315"/>
      <c r="Q439" s="1315"/>
      <c r="R439" s="1315"/>
      <c r="S439" s="1315"/>
      <c r="T439" s="1315"/>
      <c r="U439" s="1315"/>
    </row>
    <row r="440" spans="2:21">
      <c r="B440" s="1946"/>
      <c r="C440" s="1946"/>
      <c r="D440" s="1946"/>
      <c r="E440" s="1946"/>
      <c r="F440" s="1946"/>
      <c r="G440" s="1947"/>
      <c r="H440" s="1948"/>
      <c r="I440" s="1949"/>
      <c r="J440" s="1329">
        <f t="shared" si="88"/>
        <v>0</v>
      </c>
      <c r="K440" s="1329">
        <f t="shared" si="89"/>
        <v>0</v>
      </c>
      <c r="L440" s="1329"/>
      <c r="M440" s="1335">
        <f t="shared" si="90"/>
        <v>0</v>
      </c>
      <c r="N440" s="1335">
        <f t="shared" si="87"/>
        <v>0</v>
      </c>
      <c r="O440" s="1335"/>
      <c r="P440" s="1315"/>
      <c r="Q440" s="1315"/>
      <c r="R440" s="1315"/>
      <c r="S440" s="1315"/>
      <c r="T440" s="1315"/>
      <c r="U440" s="1315"/>
    </row>
    <row r="441" spans="2:21">
      <c r="B441" s="1946"/>
      <c r="C441" s="1946"/>
      <c r="D441" s="1946"/>
      <c r="E441" s="1946"/>
      <c r="F441" s="1946"/>
      <c r="G441" s="1947"/>
      <c r="H441" s="1948"/>
      <c r="I441" s="1949"/>
      <c r="J441" s="1329">
        <f t="shared" si="88"/>
        <v>0</v>
      </c>
      <c r="K441" s="1329">
        <f t="shared" si="89"/>
        <v>0</v>
      </c>
      <c r="L441" s="1329"/>
      <c r="M441" s="1335">
        <f t="shared" si="90"/>
        <v>0</v>
      </c>
      <c r="N441" s="1335">
        <f t="shared" si="87"/>
        <v>0</v>
      </c>
      <c r="O441" s="1335"/>
      <c r="P441" s="1315"/>
      <c r="Q441" s="1315"/>
      <c r="R441" s="1315"/>
      <c r="S441" s="1315"/>
      <c r="T441" s="1315"/>
      <c r="U441" s="1315"/>
    </row>
    <row r="442" spans="2:21">
      <c r="B442" s="1946"/>
      <c r="C442" s="1946"/>
      <c r="D442" s="1946"/>
      <c r="E442" s="1946"/>
      <c r="F442" s="1946"/>
      <c r="G442" s="1947"/>
      <c r="H442" s="1948"/>
      <c r="I442" s="1949"/>
      <c r="J442" s="1329">
        <f>IF(G442&gt;=0,0,"C60&gt;=0")</f>
        <v>0</v>
      </c>
      <c r="K442" s="1329">
        <f>IF(H442&gt;=0,0,"C70&gt;=0")</f>
        <v>0</v>
      </c>
      <c r="L442" s="1329"/>
      <c r="M442" s="1335">
        <f>IF(G442&lt;=1,0,"c60&lt;=1")</f>
        <v>0</v>
      </c>
      <c r="N442" s="1335">
        <f>IF(($G442*100)&gt;100,"C60 Invalid value greater than 100",IF(($G442*100)&lt;&gt;ROUND(($G442*100),2),($G442*100)&amp;": C60 Invalid no. of decimals",0))</f>
        <v>0</v>
      </c>
      <c r="O442" s="1335"/>
      <c r="P442" s="1315"/>
      <c r="Q442" s="1315"/>
      <c r="R442" s="1315"/>
      <c r="S442" s="1315"/>
      <c r="T442" s="1315"/>
      <c r="U442" s="1315"/>
    </row>
    <row r="443" spans="2:21">
      <c r="B443" s="1946"/>
      <c r="C443" s="1946"/>
      <c r="D443" s="1946"/>
      <c r="E443" s="1946"/>
      <c r="F443" s="1946"/>
      <c r="G443" s="1947"/>
      <c r="H443" s="1948"/>
      <c r="I443" s="1949"/>
      <c r="J443" s="1329">
        <f t="shared" ref="J443:J446" si="91">IF(G443&gt;=0,0,"C60&gt;=0")</f>
        <v>0</v>
      </c>
      <c r="K443" s="1329">
        <f t="shared" ref="K443:K446" si="92">IF(H443&gt;=0,0,"C70&gt;=0")</f>
        <v>0</v>
      </c>
      <c r="L443" s="1329"/>
      <c r="M443" s="1335">
        <f t="shared" ref="M443:M446" si="93">IF(G443&lt;=1,0,"c60&lt;=1")</f>
        <v>0</v>
      </c>
      <c r="N443" s="1335">
        <f t="shared" si="87"/>
        <v>0</v>
      </c>
      <c r="O443" s="1335"/>
      <c r="P443" s="1315"/>
      <c r="Q443" s="1315"/>
      <c r="R443" s="1315"/>
      <c r="S443" s="1315"/>
      <c r="T443" s="1315"/>
      <c r="U443" s="1315"/>
    </row>
    <row r="444" spans="2:21">
      <c r="B444" s="1946"/>
      <c r="C444" s="1946"/>
      <c r="D444" s="1946"/>
      <c r="E444" s="1946"/>
      <c r="F444" s="1946"/>
      <c r="G444" s="1947"/>
      <c r="H444" s="1948"/>
      <c r="I444" s="1949"/>
      <c r="J444" s="1329">
        <f t="shared" si="91"/>
        <v>0</v>
      </c>
      <c r="K444" s="1329">
        <f t="shared" si="92"/>
        <v>0</v>
      </c>
      <c r="L444" s="1329"/>
      <c r="M444" s="1335">
        <f t="shared" si="93"/>
        <v>0</v>
      </c>
      <c r="N444" s="1335">
        <f t="shared" si="87"/>
        <v>0</v>
      </c>
      <c r="O444" s="1335"/>
      <c r="P444" s="1315"/>
      <c r="Q444" s="1315"/>
      <c r="R444" s="1315"/>
      <c r="S444" s="1315"/>
      <c r="T444" s="1315"/>
      <c r="U444" s="1315"/>
    </row>
    <row r="445" spans="2:21">
      <c r="B445" s="1946"/>
      <c r="C445" s="1946"/>
      <c r="D445" s="1946"/>
      <c r="E445" s="1946"/>
      <c r="F445" s="1946"/>
      <c r="G445" s="1947"/>
      <c r="H445" s="1948"/>
      <c r="I445" s="1949"/>
      <c r="J445" s="1329">
        <f t="shared" si="91"/>
        <v>0</v>
      </c>
      <c r="K445" s="1329">
        <f t="shared" si="92"/>
        <v>0</v>
      </c>
      <c r="L445" s="1329"/>
      <c r="M445" s="1335">
        <f t="shared" si="93"/>
        <v>0</v>
      </c>
      <c r="N445" s="1335">
        <f t="shared" si="87"/>
        <v>0</v>
      </c>
      <c r="O445" s="1335"/>
      <c r="P445" s="1315"/>
      <c r="Q445" s="1315"/>
      <c r="R445" s="1315"/>
      <c r="S445" s="1315"/>
      <c r="T445" s="1315"/>
      <c r="U445" s="1315"/>
    </row>
    <row r="446" spans="2:21">
      <c r="B446" s="1946"/>
      <c r="C446" s="1946"/>
      <c r="D446" s="1946"/>
      <c r="E446" s="1946"/>
      <c r="F446" s="1946"/>
      <c r="G446" s="1947"/>
      <c r="H446" s="1948"/>
      <c r="I446" s="1949"/>
      <c r="J446" s="1329">
        <f t="shared" si="91"/>
        <v>0</v>
      </c>
      <c r="K446" s="1329">
        <f t="shared" si="92"/>
        <v>0</v>
      </c>
      <c r="L446" s="1329"/>
      <c r="M446" s="1335">
        <f t="shared" si="93"/>
        <v>0</v>
      </c>
      <c r="N446" s="1335">
        <f t="shared" si="87"/>
        <v>0</v>
      </c>
      <c r="O446" s="1335"/>
      <c r="P446" s="1315"/>
      <c r="Q446" s="1315"/>
      <c r="R446" s="1315"/>
      <c r="S446" s="1315"/>
      <c r="T446" s="1315"/>
      <c r="U446" s="1315"/>
    </row>
    <row r="447" spans="2:21">
      <c r="B447" s="1946"/>
      <c r="C447" s="1946"/>
      <c r="D447" s="1946"/>
      <c r="E447" s="1946"/>
      <c r="F447" s="1946"/>
      <c r="G447" s="1947"/>
      <c r="H447" s="1948"/>
      <c r="I447" s="1949"/>
      <c r="J447" s="1329">
        <f>IF(G447&gt;=0,0,"C60&gt;=0")</f>
        <v>0</v>
      </c>
      <c r="K447" s="1329">
        <f>IF(H447&gt;=0,0,"C70&gt;=0")</f>
        <v>0</v>
      </c>
      <c r="L447" s="1329"/>
      <c r="M447" s="1335">
        <f>IF(G447&lt;=1,0,"c60&lt;=1")</f>
        <v>0</v>
      </c>
      <c r="N447" s="1335">
        <f>IF(($G447*100)&gt;100,"C60 Invalid value greater than 100",IF(($G447*100)&lt;&gt;ROUND(($G447*100),2),($G447*100)&amp;": C60 Invalid no. of decimals",0))</f>
        <v>0</v>
      </c>
      <c r="O447" s="1335"/>
      <c r="P447" s="1315"/>
      <c r="Q447" s="1315"/>
      <c r="R447" s="1315"/>
      <c r="S447" s="1315"/>
      <c r="T447" s="1315"/>
      <c r="U447" s="1315"/>
    </row>
    <row r="448" spans="2:21">
      <c r="B448" s="1946"/>
      <c r="C448" s="1946"/>
      <c r="D448" s="1946"/>
      <c r="E448" s="1946"/>
      <c r="F448" s="1946"/>
      <c r="G448" s="1947"/>
      <c r="H448" s="1948"/>
      <c r="I448" s="1949"/>
      <c r="J448" s="1329">
        <f t="shared" ref="J448:J451" si="94">IF(G448&gt;=0,0,"C60&gt;=0")</f>
        <v>0</v>
      </c>
      <c r="K448" s="1329">
        <f t="shared" ref="K448:K451" si="95">IF(H448&gt;=0,0,"C70&gt;=0")</f>
        <v>0</v>
      </c>
      <c r="L448" s="1329"/>
      <c r="M448" s="1335">
        <f t="shared" ref="M448:M451" si="96">IF(G448&lt;=1,0,"c60&lt;=1")</f>
        <v>0</v>
      </c>
      <c r="N448" s="1335">
        <f t="shared" si="87"/>
        <v>0</v>
      </c>
      <c r="O448" s="1335"/>
      <c r="P448" s="1315"/>
      <c r="Q448" s="1315"/>
      <c r="R448" s="1315"/>
      <c r="S448" s="1315"/>
      <c r="T448" s="1315"/>
      <c r="U448" s="1315"/>
    </row>
    <row r="449" spans="2:21">
      <c r="B449" s="1946"/>
      <c r="C449" s="1946"/>
      <c r="D449" s="1946"/>
      <c r="E449" s="1946"/>
      <c r="F449" s="1946"/>
      <c r="G449" s="1947"/>
      <c r="H449" s="1948"/>
      <c r="I449" s="1949"/>
      <c r="J449" s="1329">
        <f t="shared" si="94"/>
        <v>0</v>
      </c>
      <c r="K449" s="1329">
        <f t="shared" si="95"/>
        <v>0</v>
      </c>
      <c r="L449" s="1329"/>
      <c r="M449" s="1335">
        <f t="shared" si="96"/>
        <v>0</v>
      </c>
      <c r="N449" s="1335">
        <f t="shared" si="87"/>
        <v>0</v>
      </c>
      <c r="O449" s="1335"/>
      <c r="P449" s="1315"/>
      <c r="Q449" s="1315"/>
      <c r="R449" s="1315"/>
      <c r="S449" s="1315"/>
      <c r="T449" s="1315"/>
      <c r="U449" s="1315"/>
    </row>
    <row r="450" spans="2:21">
      <c r="B450" s="1946"/>
      <c r="C450" s="1946"/>
      <c r="D450" s="1946"/>
      <c r="E450" s="1946"/>
      <c r="F450" s="1946"/>
      <c r="G450" s="1947"/>
      <c r="H450" s="1948"/>
      <c r="I450" s="1949"/>
      <c r="J450" s="1329">
        <f t="shared" si="94"/>
        <v>0</v>
      </c>
      <c r="K450" s="1329">
        <f t="shared" si="95"/>
        <v>0</v>
      </c>
      <c r="L450" s="1329"/>
      <c r="M450" s="1335">
        <f t="shared" si="96"/>
        <v>0</v>
      </c>
      <c r="N450" s="1335">
        <f t="shared" si="87"/>
        <v>0</v>
      </c>
      <c r="O450" s="1335"/>
      <c r="P450" s="1315"/>
      <c r="Q450" s="1315"/>
      <c r="R450" s="1315"/>
      <c r="S450" s="1315"/>
      <c r="T450" s="1315"/>
      <c r="U450" s="1315"/>
    </row>
    <row r="451" spans="2:21">
      <c r="B451" s="1946"/>
      <c r="C451" s="1946"/>
      <c r="D451" s="1946"/>
      <c r="E451" s="1946"/>
      <c r="F451" s="1946"/>
      <c r="G451" s="1947"/>
      <c r="H451" s="1948"/>
      <c r="I451" s="1949"/>
      <c r="J451" s="1329">
        <f t="shared" si="94"/>
        <v>0</v>
      </c>
      <c r="K451" s="1329">
        <f t="shared" si="95"/>
        <v>0</v>
      </c>
      <c r="L451" s="1329"/>
      <c r="M451" s="1335">
        <f t="shared" si="96"/>
        <v>0</v>
      </c>
      <c r="N451" s="1335">
        <f t="shared" si="87"/>
        <v>0</v>
      </c>
      <c r="O451" s="1335"/>
      <c r="P451" s="1315"/>
      <c r="Q451" s="1315"/>
      <c r="R451" s="1315"/>
      <c r="S451" s="1315"/>
      <c r="T451" s="1315"/>
      <c r="U451" s="1315"/>
    </row>
    <row r="452" spans="2:21">
      <c r="B452" s="1946"/>
      <c r="C452" s="1946"/>
      <c r="D452" s="1946"/>
      <c r="E452" s="1946"/>
      <c r="F452" s="1946"/>
      <c r="G452" s="1947"/>
      <c r="H452" s="1948"/>
      <c r="I452" s="1949"/>
      <c r="J452" s="1329">
        <f>IF(G452&gt;=0,0,"C60&gt;=0")</f>
        <v>0</v>
      </c>
      <c r="K452" s="1329">
        <f>IF(H452&gt;=0,0,"C70&gt;=0")</f>
        <v>0</v>
      </c>
      <c r="L452" s="1329"/>
      <c r="M452" s="1335">
        <f>IF(G452&lt;=1,0,"c60&lt;=1")</f>
        <v>0</v>
      </c>
      <c r="N452" s="1335">
        <f>IF(($G452*100)&gt;100,"C60 Invalid value greater than 100",IF(($G452*100)&lt;&gt;ROUND(($G452*100),2),($G452*100)&amp;": C60 Invalid no. of decimals",0))</f>
        <v>0</v>
      </c>
      <c r="O452" s="1335"/>
      <c r="P452" s="1315"/>
      <c r="Q452" s="1315"/>
      <c r="R452" s="1315"/>
      <c r="S452" s="1315"/>
      <c r="T452" s="1315"/>
      <c r="U452" s="1315"/>
    </row>
    <row r="453" spans="2:21">
      <c r="B453" s="1946"/>
      <c r="C453" s="1946"/>
      <c r="D453" s="1946"/>
      <c r="E453" s="1946"/>
      <c r="F453" s="1946"/>
      <c r="G453" s="1947"/>
      <c r="H453" s="1948"/>
      <c r="I453" s="1949"/>
      <c r="J453" s="1329">
        <f t="shared" ref="J453:J456" si="97">IF(G453&gt;=0,0,"C60&gt;=0")</f>
        <v>0</v>
      </c>
      <c r="K453" s="1329">
        <f t="shared" ref="K453:K456" si="98">IF(H453&gt;=0,0,"C70&gt;=0")</f>
        <v>0</v>
      </c>
      <c r="L453" s="1329"/>
      <c r="M453" s="1335">
        <f t="shared" ref="M453:M456" si="99">IF(G453&lt;=1,0,"c60&lt;=1")</f>
        <v>0</v>
      </c>
      <c r="N453" s="1335">
        <f t="shared" si="87"/>
        <v>0</v>
      </c>
      <c r="O453" s="1335"/>
      <c r="P453" s="1315"/>
      <c r="Q453" s="1315"/>
      <c r="R453" s="1315"/>
      <c r="S453" s="1315"/>
      <c r="T453" s="1315"/>
      <c r="U453" s="1315"/>
    </row>
    <row r="454" spans="2:21">
      <c r="B454" s="1946"/>
      <c r="C454" s="1946"/>
      <c r="D454" s="1946"/>
      <c r="E454" s="1946"/>
      <c r="F454" s="1946"/>
      <c r="G454" s="1947"/>
      <c r="H454" s="1948"/>
      <c r="I454" s="1949"/>
      <c r="J454" s="1329">
        <f t="shared" si="97"/>
        <v>0</v>
      </c>
      <c r="K454" s="1329">
        <f t="shared" si="98"/>
        <v>0</v>
      </c>
      <c r="L454" s="1329"/>
      <c r="M454" s="1335">
        <f t="shared" si="99"/>
        <v>0</v>
      </c>
      <c r="N454" s="1335">
        <f t="shared" si="87"/>
        <v>0</v>
      </c>
      <c r="O454" s="1335"/>
      <c r="P454" s="1315"/>
      <c r="Q454" s="1315"/>
      <c r="R454" s="1315"/>
      <c r="S454" s="1315"/>
      <c r="T454" s="1315"/>
      <c r="U454" s="1315"/>
    </row>
    <row r="455" spans="2:21">
      <c r="B455" s="1946"/>
      <c r="C455" s="1946"/>
      <c r="D455" s="1946"/>
      <c r="E455" s="1946"/>
      <c r="F455" s="1946"/>
      <c r="G455" s="1947"/>
      <c r="H455" s="1948"/>
      <c r="I455" s="1949"/>
      <c r="J455" s="1329">
        <f t="shared" si="97"/>
        <v>0</v>
      </c>
      <c r="K455" s="1329">
        <f t="shared" si="98"/>
        <v>0</v>
      </c>
      <c r="L455" s="1329"/>
      <c r="M455" s="1335">
        <f t="shared" si="99"/>
        <v>0</v>
      </c>
      <c r="N455" s="1335">
        <f t="shared" si="87"/>
        <v>0</v>
      </c>
      <c r="O455" s="1335"/>
      <c r="P455" s="1315"/>
      <c r="Q455" s="1315"/>
      <c r="R455" s="1315"/>
      <c r="S455" s="1315"/>
      <c r="T455" s="1315"/>
      <c r="U455" s="1315"/>
    </row>
    <row r="456" spans="2:21">
      <c r="B456" s="1946"/>
      <c r="C456" s="1946"/>
      <c r="D456" s="1946"/>
      <c r="E456" s="1946"/>
      <c r="F456" s="1946"/>
      <c r="G456" s="1947"/>
      <c r="H456" s="1948"/>
      <c r="I456" s="1949"/>
      <c r="J456" s="1329">
        <f t="shared" si="97"/>
        <v>0</v>
      </c>
      <c r="K456" s="1329">
        <f t="shared" si="98"/>
        <v>0</v>
      </c>
      <c r="L456" s="1329"/>
      <c r="M456" s="1335">
        <f t="shared" si="99"/>
        <v>0</v>
      </c>
      <c r="N456" s="1335">
        <f t="shared" si="87"/>
        <v>0</v>
      </c>
      <c r="O456" s="1335"/>
      <c r="P456" s="1315"/>
      <c r="Q456" s="1315"/>
      <c r="R456" s="1315"/>
      <c r="S456" s="1315"/>
      <c r="T456" s="1315"/>
      <c r="U456" s="1315"/>
    </row>
    <row r="457" spans="2:21">
      <c r="B457" s="1946"/>
      <c r="C457" s="1946"/>
      <c r="D457" s="1946"/>
      <c r="E457" s="1946"/>
      <c r="F457" s="1946"/>
      <c r="G457" s="1947"/>
      <c r="H457" s="1948"/>
      <c r="I457" s="1949"/>
      <c r="J457" s="1329">
        <f>IF(G457&gt;=0,0,"C60&gt;=0")</f>
        <v>0</v>
      </c>
      <c r="K457" s="1329">
        <f>IF(H457&gt;=0,0,"C70&gt;=0")</f>
        <v>0</v>
      </c>
      <c r="L457" s="1329"/>
      <c r="M457" s="1335">
        <f>IF(G457&lt;=1,0,"c60&lt;=1")</f>
        <v>0</v>
      </c>
      <c r="N457" s="1335">
        <f>IF(($G457*100)&gt;100,"C60 Invalid value greater than 100",IF(($G457*100)&lt;&gt;ROUND(($G457*100),2),($G457*100)&amp;": C60 Invalid no. of decimals",0))</f>
        <v>0</v>
      </c>
      <c r="O457" s="1335"/>
      <c r="P457" s="1315"/>
      <c r="Q457" s="1315"/>
      <c r="R457" s="1315"/>
      <c r="S457" s="1315"/>
      <c r="T457" s="1315"/>
      <c r="U457" s="1315"/>
    </row>
    <row r="458" spans="2:21">
      <c r="B458" s="1946"/>
      <c r="C458" s="1946"/>
      <c r="D458" s="1946"/>
      <c r="E458" s="1946"/>
      <c r="F458" s="1946"/>
      <c r="G458" s="1947"/>
      <c r="H458" s="1948"/>
      <c r="I458" s="1949"/>
      <c r="J458" s="1329">
        <f t="shared" ref="J458:J461" si="100">IF(G458&gt;=0,0,"C60&gt;=0")</f>
        <v>0</v>
      </c>
      <c r="K458" s="1329">
        <f t="shared" ref="K458:K461" si="101">IF(H458&gt;=0,0,"C70&gt;=0")</f>
        <v>0</v>
      </c>
      <c r="L458" s="1329"/>
      <c r="M458" s="1335">
        <f t="shared" ref="M458:M461" si="102">IF(G458&lt;=1,0,"c60&lt;=1")</f>
        <v>0</v>
      </c>
      <c r="N458" s="1335">
        <f t="shared" si="87"/>
        <v>0</v>
      </c>
      <c r="O458" s="1335"/>
      <c r="P458" s="1315"/>
      <c r="Q458" s="1315"/>
      <c r="R458" s="1315"/>
      <c r="S458" s="1315"/>
      <c r="T458" s="1315"/>
      <c r="U458" s="1315"/>
    </row>
    <row r="459" spans="2:21">
      <c r="B459" s="1946"/>
      <c r="C459" s="1946"/>
      <c r="D459" s="1946"/>
      <c r="E459" s="1946"/>
      <c r="F459" s="1946"/>
      <c r="G459" s="1947"/>
      <c r="H459" s="1948"/>
      <c r="I459" s="1949"/>
      <c r="J459" s="1329">
        <f t="shared" si="100"/>
        <v>0</v>
      </c>
      <c r="K459" s="1329">
        <f t="shared" si="101"/>
        <v>0</v>
      </c>
      <c r="L459" s="1329"/>
      <c r="M459" s="1335">
        <f t="shared" si="102"/>
        <v>0</v>
      </c>
      <c r="N459" s="1335">
        <f t="shared" si="87"/>
        <v>0</v>
      </c>
      <c r="O459" s="1335"/>
      <c r="P459" s="1315"/>
      <c r="Q459" s="1315"/>
      <c r="R459" s="1315"/>
      <c r="S459" s="1315"/>
      <c r="T459" s="1315"/>
      <c r="U459" s="1315"/>
    </row>
    <row r="460" spans="2:21">
      <c r="B460" s="1946"/>
      <c r="C460" s="1946"/>
      <c r="D460" s="1946"/>
      <c r="E460" s="1946"/>
      <c r="F460" s="1946"/>
      <c r="G460" s="1947"/>
      <c r="H460" s="1948"/>
      <c r="I460" s="1949"/>
      <c r="J460" s="1329">
        <f t="shared" si="100"/>
        <v>0</v>
      </c>
      <c r="K460" s="1329">
        <f t="shared" si="101"/>
        <v>0</v>
      </c>
      <c r="L460" s="1329"/>
      <c r="M460" s="1335">
        <f t="shared" si="102"/>
        <v>0</v>
      </c>
      <c r="N460" s="1335">
        <f t="shared" si="87"/>
        <v>0</v>
      </c>
      <c r="O460" s="1335"/>
      <c r="P460" s="1315"/>
      <c r="Q460" s="1315"/>
      <c r="R460" s="1315"/>
      <c r="S460" s="1315"/>
      <c r="T460" s="1315"/>
      <c r="U460" s="1315"/>
    </row>
    <row r="461" spans="2:21">
      <c r="B461" s="1946"/>
      <c r="C461" s="1946"/>
      <c r="D461" s="1946"/>
      <c r="E461" s="1946"/>
      <c r="F461" s="1946"/>
      <c r="G461" s="1947"/>
      <c r="H461" s="1948"/>
      <c r="I461" s="1949"/>
      <c r="J461" s="1329">
        <f t="shared" si="100"/>
        <v>0</v>
      </c>
      <c r="K461" s="1329">
        <f t="shared" si="101"/>
        <v>0</v>
      </c>
      <c r="L461" s="1329"/>
      <c r="M461" s="1335">
        <f t="shared" si="102"/>
        <v>0</v>
      </c>
      <c r="N461" s="1335">
        <f t="shared" si="87"/>
        <v>0</v>
      </c>
      <c r="O461" s="1335"/>
      <c r="P461" s="1315"/>
      <c r="Q461" s="1315"/>
      <c r="R461" s="1315"/>
      <c r="S461" s="1315"/>
      <c r="T461" s="1315"/>
      <c r="U461" s="1315"/>
    </row>
    <row r="462" spans="2:21">
      <c r="B462" s="1946"/>
      <c r="C462" s="1946"/>
      <c r="D462" s="1946"/>
      <c r="E462" s="1946"/>
      <c r="F462" s="1946"/>
      <c r="G462" s="1947"/>
      <c r="H462" s="1948"/>
      <c r="I462" s="1949"/>
      <c r="J462" s="1329">
        <f>IF(G462&gt;=0,0,"C60&gt;=0")</f>
        <v>0</v>
      </c>
      <c r="K462" s="1329">
        <f>IF(H462&gt;=0,0,"C70&gt;=0")</f>
        <v>0</v>
      </c>
      <c r="L462" s="1329"/>
      <c r="M462" s="1335">
        <f>IF(G462&lt;=1,0,"c60&lt;=1")</f>
        <v>0</v>
      </c>
      <c r="N462" s="1335">
        <f>IF(($G462*100)&gt;100,"C60 Invalid value greater than 100",IF(($G462*100)&lt;&gt;ROUND(($G462*100),2),($G462*100)&amp;": C60 Invalid no. of decimals",0))</f>
        <v>0</v>
      </c>
      <c r="O462" s="1335"/>
      <c r="P462" s="1315"/>
      <c r="Q462" s="1315"/>
      <c r="R462" s="1315"/>
      <c r="S462" s="1315"/>
      <c r="T462" s="1315"/>
      <c r="U462" s="1315"/>
    </row>
    <row r="463" spans="2:21">
      <c r="B463" s="1946"/>
      <c r="C463" s="1946"/>
      <c r="D463" s="1946"/>
      <c r="E463" s="1946"/>
      <c r="F463" s="1946"/>
      <c r="G463" s="1947"/>
      <c r="H463" s="1948"/>
      <c r="I463" s="1949"/>
      <c r="J463" s="1329">
        <f t="shared" ref="J463:J466" si="103">IF(G463&gt;=0,0,"C60&gt;=0")</f>
        <v>0</v>
      </c>
      <c r="K463" s="1329">
        <f t="shared" ref="K463:K466" si="104">IF(H463&gt;=0,0,"C70&gt;=0")</f>
        <v>0</v>
      </c>
      <c r="L463" s="1329"/>
      <c r="M463" s="1335">
        <f t="shared" ref="M463:M466" si="105">IF(G463&lt;=1,0,"c60&lt;=1")</f>
        <v>0</v>
      </c>
      <c r="N463" s="1335">
        <f t="shared" si="87"/>
        <v>0</v>
      </c>
      <c r="O463" s="1335"/>
      <c r="P463" s="1315"/>
      <c r="Q463" s="1315"/>
      <c r="R463" s="1315"/>
      <c r="S463" s="1315"/>
      <c r="T463" s="1315"/>
      <c r="U463" s="1315"/>
    </row>
    <row r="464" spans="2:21">
      <c r="B464" s="1946"/>
      <c r="C464" s="1946"/>
      <c r="D464" s="1946"/>
      <c r="E464" s="1946"/>
      <c r="F464" s="1946"/>
      <c r="G464" s="1947"/>
      <c r="H464" s="1948"/>
      <c r="I464" s="1949"/>
      <c r="J464" s="1329">
        <f t="shared" si="103"/>
        <v>0</v>
      </c>
      <c r="K464" s="1329">
        <f t="shared" si="104"/>
        <v>0</v>
      </c>
      <c r="L464" s="1329"/>
      <c r="M464" s="1335">
        <f t="shared" si="105"/>
        <v>0</v>
      </c>
      <c r="N464" s="1335">
        <f t="shared" si="87"/>
        <v>0</v>
      </c>
      <c r="O464" s="1335"/>
      <c r="P464" s="1315"/>
      <c r="Q464" s="1315"/>
      <c r="R464" s="1315"/>
      <c r="S464" s="1315"/>
      <c r="T464" s="1315"/>
      <c r="U464" s="1315"/>
    </row>
    <row r="465" spans="2:21">
      <c r="B465" s="1946"/>
      <c r="C465" s="1946"/>
      <c r="D465" s="1946"/>
      <c r="E465" s="1946"/>
      <c r="F465" s="1946"/>
      <c r="G465" s="1947"/>
      <c r="H465" s="1948"/>
      <c r="I465" s="1949"/>
      <c r="J465" s="1329">
        <f t="shared" si="103"/>
        <v>0</v>
      </c>
      <c r="K465" s="1329">
        <f t="shared" si="104"/>
        <v>0</v>
      </c>
      <c r="L465" s="1329"/>
      <c r="M465" s="1335">
        <f t="shared" si="105"/>
        <v>0</v>
      </c>
      <c r="N465" s="1335">
        <f t="shared" si="87"/>
        <v>0</v>
      </c>
      <c r="O465" s="1335"/>
      <c r="P465" s="1315"/>
      <c r="Q465" s="1315"/>
      <c r="R465" s="1315"/>
      <c r="S465" s="1315"/>
      <c r="T465" s="1315"/>
      <c r="U465" s="1315"/>
    </row>
    <row r="466" spans="2:21">
      <c r="B466" s="1946"/>
      <c r="C466" s="1946"/>
      <c r="D466" s="1946"/>
      <c r="E466" s="1946"/>
      <c r="F466" s="1946"/>
      <c r="G466" s="1947"/>
      <c r="H466" s="1948"/>
      <c r="I466" s="1949"/>
      <c r="J466" s="1329">
        <f t="shared" si="103"/>
        <v>0</v>
      </c>
      <c r="K466" s="1329">
        <f t="shared" si="104"/>
        <v>0</v>
      </c>
      <c r="L466" s="1329"/>
      <c r="M466" s="1335">
        <f t="shared" si="105"/>
        <v>0</v>
      </c>
      <c r="N466" s="1335">
        <f t="shared" si="87"/>
        <v>0</v>
      </c>
      <c r="O466" s="1335"/>
      <c r="P466" s="1315"/>
      <c r="Q466" s="1315"/>
      <c r="R466" s="1315"/>
      <c r="S466" s="1315"/>
      <c r="T466" s="1315"/>
      <c r="U466" s="1315"/>
    </row>
    <row r="467" spans="2:21">
      <c r="B467" s="1946"/>
      <c r="C467" s="1946"/>
      <c r="D467" s="1946"/>
      <c r="E467" s="1946"/>
      <c r="F467" s="1946"/>
      <c r="G467" s="1947"/>
      <c r="H467" s="1948"/>
      <c r="I467" s="1949"/>
      <c r="J467" s="1329">
        <f>IF(G467&gt;=0,0,"C60&gt;=0")</f>
        <v>0</v>
      </c>
      <c r="K467" s="1329">
        <f>IF(H467&gt;=0,0,"C70&gt;=0")</f>
        <v>0</v>
      </c>
      <c r="L467" s="1329"/>
      <c r="M467" s="1335">
        <f>IF(G467&lt;=1,0,"c60&lt;=1")</f>
        <v>0</v>
      </c>
      <c r="N467" s="1335">
        <f>IF(($G467*100)&gt;100,"C60 Invalid value greater than 100",IF(($G467*100)&lt;&gt;ROUND(($G467*100),2),($G467*100)&amp;": C60 Invalid no. of decimals",0))</f>
        <v>0</v>
      </c>
      <c r="O467" s="1335"/>
      <c r="P467" s="1315"/>
      <c r="Q467" s="1315"/>
      <c r="R467" s="1315"/>
      <c r="S467" s="1315"/>
      <c r="T467" s="1315"/>
      <c r="U467" s="1315"/>
    </row>
    <row r="468" spans="2:21">
      <c r="B468" s="1946"/>
      <c r="C468" s="1946"/>
      <c r="D468" s="1946"/>
      <c r="E468" s="1946"/>
      <c r="F468" s="1946"/>
      <c r="G468" s="1947"/>
      <c r="H468" s="1948"/>
      <c r="I468" s="1949"/>
      <c r="J468" s="1329">
        <f t="shared" ref="J468:J471" si="106">IF(G468&gt;=0,0,"C60&gt;=0")</f>
        <v>0</v>
      </c>
      <c r="K468" s="1329">
        <f t="shared" ref="K468:K471" si="107">IF(H468&gt;=0,0,"C70&gt;=0")</f>
        <v>0</v>
      </c>
      <c r="L468" s="1329"/>
      <c r="M468" s="1335">
        <f t="shared" ref="M468:M471" si="108">IF(G468&lt;=1,0,"c60&lt;=1")</f>
        <v>0</v>
      </c>
      <c r="N468" s="1335">
        <f t="shared" si="87"/>
        <v>0</v>
      </c>
      <c r="O468" s="1335"/>
      <c r="P468" s="1315"/>
      <c r="Q468" s="1315"/>
      <c r="R468" s="1315"/>
      <c r="S468" s="1315"/>
      <c r="T468" s="1315"/>
      <c r="U468" s="1315"/>
    </row>
    <row r="469" spans="2:21">
      <c r="B469" s="1946"/>
      <c r="C469" s="1946"/>
      <c r="D469" s="1946"/>
      <c r="E469" s="1946"/>
      <c r="F469" s="1946"/>
      <c r="G469" s="1947"/>
      <c r="H469" s="1948"/>
      <c r="I469" s="1949"/>
      <c r="J469" s="1329">
        <f t="shared" si="106"/>
        <v>0</v>
      </c>
      <c r="K469" s="1329">
        <f t="shared" si="107"/>
        <v>0</v>
      </c>
      <c r="L469" s="1329"/>
      <c r="M469" s="1335">
        <f t="shared" si="108"/>
        <v>0</v>
      </c>
      <c r="N469" s="1335">
        <f t="shared" si="87"/>
        <v>0</v>
      </c>
      <c r="O469" s="1335"/>
      <c r="P469" s="1315"/>
      <c r="Q469" s="1315"/>
      <c r="R469" s="1315"/>
      <c r="S469" s="1315"/>
      <c r="T469" s="1315"/>
      <c r="U469" s="1315"/>
    </row>
    <row r="470" spans="2:21">
      <c r="B470" s="1946"/>
      <c r="C470" s="1946"/>
      <c r="D470" s="1946"/>
      <c r="E470" s="1946"/>
      <c r="F470" s="1946"/>
      <c r="G470" s="1947"/>
      <c r="H470" s="1948"/>
      <c r="I470" s="1949"/>
      <c r="J470" s="1329">
        <f t="shared" si="106"/>
        <v>0</v>
      </c>
      <c r="K470" s="1329">
        <f t="shared" si="107"/>
        <v>0</v>
      </c>
      <c r="L470" s="1329"/>
      <c r="M470" s="1335">
        <f t="shared" si="108"/>
        <v>0</v>
      </c>
      <c r="N470" s="1335">
        <f t="shared" si="87"/>
        <v>0</v>
      </c>
      <c r="O470" s="1335"/>
      <c r="P470" s="1315"/>
      <c r="Q470" s="1315"/>
      <c r="R470" s="1315"/>
      <c r="S470" s="1315"/>
      <c r="T470" s="1315"/>
      <c r="U470" s="1315"/>
    </row>
    <row r="471" spans="2:21">
      <c r="B471" s="1946"/>
      <c r="C471" s="1946"/>
      <c r="D471" s="1946"/>
      <c r="E471" s="1946"/>
      <c r="F471" s="1946"/>
      <c r="G471" s="1947"/>
      <c r="H471" s="1948"/>
      <c r="I471" s="1949"/>
      <c r="J471" s="1329">
        <f t="shared" si="106"/>
        <v>0</v>
      </c>
      <c r="K471" s="1329">
        <f t="shared" si="107"/>
        <v>0</v>
      </c>
      <c r="L471" s="1329"/>
      <c r="M471" s="1335">
        <f t="shared" si="108"/>
        <v>0</v>
      </c>
      <c r="N471" s="1335">
        <f t="shared" si="87"/>
        <v>0</v>
      </c>
      <c r="O471" s="1335"/>
      <c r="P471" s="1315"/>
      <c r="Q471" s="1315"/>
      <c r="R471" s="1315"/>
      <c r="S471" s="1315"/>
      <c r="T471" s="1315"/>
      <c r="U471" s="1315"/>
    </row>
    <row r="472" spans="2:21">
      <c r="B472" s="1946"/>
      <c r="C472" s="1946"/>
      <c r="D472" s="1946"/>
      <c r="E472" s="1946"/>
      <c r="F472" s="1946"/>
      <c r="G472" s="1947"/>
      <c r="H472" s="1948"/>
      <c r="I472" s="1949"/>
      <c r="J472" s="1329">
        <f>IF(G472&gt;=0,0,"C60&gt;=0")</f>
        <v>0</v>
      </c>
      <c r="K472" s="1329">
        <f>IF(H472&gt;=0,0,"C70&gt;=0")</f>
        <v>0</v>
      </c>
      <c r="L472" s="1329"/>
      <c r="M472" s="1335">
        <f>IF(G472&lt;=1,0,"c60&lt;=1")</f>
        <v>0</v>
      </c>
      <c r="N472" s="1335">
        <f>IF(($G472*100)&gt;100,"C60 Invalid value greater than 100",IF(($G472*100)&lt;&gt;ROUND(($G472*100),2),($G472*100)&amp;": C60 Invalid no. of decimals",0))</f>
        <v>0</v>
      </c>
      <c r="O472" s="1335"/>
      <c r="P472" s="1315"/>
      <c r="Q472" s="1315"/>
      <c r="R472" s="1315"/>
      <c r="S472" s="1315"/>
      <c r="T472" s="1315"/>
      <c r="U472" s="1315"/>
    </row>
    <row r="473" spans="2:21">
      <c r="B473" s="1946"/>
      <c r="C473" s="1946"/>
      <c r="D473" s="1946"/>
      <c r="E473" s="1946"/>
      <c r="F473" s="1946"/>
      <c r="G473" s="1947"/>
      <c r="H473" s="1948"/>
      <c r="I473" s="1949"/>
      <c r="J473" s="1329">
        <f t="shared" ref="J473:J476" si="109">IF(G473&gt;=0,0,"C60&gt;=0")</f>
        <v>0</v>
      </c>
      <c r="K473" s="1329">
        <f t="shared" ref="K473:K476" si="110">IF(H473&gt;=0,0,"C70&gt;=0")</f>
        <v>0</v>
      </c>
      <c r="L473" s="1329"/>
      <c r="M473" s="1335">
        <f t="shared" ref="M473:M476" si="111">IF(G473&lt;=1,0,"c60&lt;=1")</f>
        <v>0</v>
      </c>
      <c r="N473" s="1335">
        <f t="shared" si="87"/>
        <v>0</v>
      </c>
      <c r="O473" s="1335"/>
      <c r="P473" s="1315"/>
      <c r="Q473" s="1315"/>
      <c r="R473" s="1315"/>
      <c r="S473" s="1315"/>
      <c r="T473" s="1315"/>
      <c r="U473" s="1315"/>
    </row>
    <row r="474" spans="2:21">
      <c r="B474" s="1946"/>
      <c r="C474" s="1946"/>
      <c r="D474" s="1946"/>
      <c r="E474" s="1946"/>
      <c r="F474" s="1946"/>
      <c r="G474" s="1947"/>
      <c r="H474" s="1948"/>
      <c r="I474" s="1949"/>
      <c r="J474" s="1329">
        <f t="shared" si="109"/>
        <v>0</v>
      </c>
      <c r="K474" s="1329">
        <f t="shared" si="110"/>
        <v>0</v>
      </c>
      <c r="L474" s="1329"/>
      <c r="M474" s="1335">
        <f t="shared" si="111"/>
        <v>0</v>
      </c>
      <c r="N474" s="1335">
        <f t="shared" si="87"/>
        <v>0</v>
      </c>
      <c r="O474" s="1335"/>
      <c r="P474" s="1315"/>
      <c r="Q474" s="1315"/>
      <c r="R474" s="1315"/>
      <c r="S474" s="1315"/>
      <c r="T474" s="1315"/>
      <c r="U474" s="1315"/>
    </row>
    <row r="475" spans="2:21">
      <c r="B475" s="1946"/>
      <c r="C475" s="1946"/>
      <c r="D475" s="1946"/>
      <c r="E475" s="1946"/>
      <c r="F475" s="1946"/>
      <c r="G475" s="1947"/>
      <c r="H475" s="1948"/>
      <c r="I475" s="1949"/>
      <c r="J475" s="1329">
        <f t="shared" si="109"/>
        <v>0</v>
      </c>
      <c r="K475" s="1329">
        <f t="shared" si="110"/>
        <v>0</v>
      </c>
      <c r="L475" s="1329"/>
      <c r="M475" s="1335">
        <f t="shared" si="111"/>
        <v>0</v>
      </c>
      <c r="N475" s="1335">
        <f t="shared" si="87"/>
        <v>0</v>
      </c>
      <c r="O475" s="1335"/>
      <c r="P475" s="1315"/>
      <c r="Q475" s="1315"/>
      <c r="R475" s="1315"/>
      <c r="S475" s="1315"/>
      <c r="T475" s="1315"/>
      <c r="U475" s="1315"/>
    </row>
    <row r="476" spans="2:21">
      <c r="B476" s="1946"/>
      <c r="C476" s="1946"/>
      <c r="D476" s="1946"/>
      <c r="E476" s="1946"/>
      <c r="F476" s="1946"/>
      <c r="G476" s="1947"/>
      <c r="H476" s="1948"/>
      <c r="I476" s="1949"/>
      <c r="J476" s="1329">
        <f t="shared" si="109"/>
        <v>0</v>
      </c>
      <c r="K476" s="1329">
        <f t="shared" si="110"/>
        <v>0</v>
      </c>
      <c r="L476" s="1329"/>
      <c r="M476" s="1335">
        <f t="shared" si="111"/>
        <v>0</v>
      </c>
      <c r="N476" s="1335">
        <f t="shared" si="87"/>
        <v>0</v>
      </c>
      <c r="O476" s="1335"/>
      <c r="P476" s="1315"/>
      <c r="Q476" s="1315"/>
      <c r="R476" s="1315"/>
      <c r="S476" s="1315"/>
      <c r="T476" s="1315"/>
      <c r="U476" s="1315"/>
    </row>
    <row r="477" spans="2:21">
      <c r="B477" s="1946"/>
      <c r="C477" s="1946"/>
      <c r="D477" s="1946"/>
      <c r="E477" s="1946"/>
      <c r="F477" s="1946"/>
      <c r="G477" s="1947"/>
      <c r="H477" s="1948"/>
      <c r="I477" s="1949"/>
      <c r="J477" s="1329">
        <f>IF(G477&gt;=0,0,"C60&gt;=0")</f>
        <v>0</v>
      </c>
      <c r="K477" s="1329">
        <f>IF(H477&gt;=0,0,"C70&gt;=0")</f>
        <v>0</v>
      </c>
      <c r="L477" s="1329"/>
      <c r="M477" s="1335">
        <f>IF(G477&lt;=1,0,"c60&lt;=1")</f>
        <v>0</v>
      </c>
      <c r="N477" s="1335">
        <f>IF(($G477*100)&gt;100,"C60 Invalid value greater than 100",IF(($G477*100)&lt;&gt;ROUND(($G477*100),2),($G477*100)&amp;": C60 Invalid no. of decimals",0))</f>
        <v>0</v>
      </c>
      <c r="O477" s="1335"/>
      <c r="P477" s="1315"/>
      <c r="Q477" s="1315"/>
      <c r="R477" s="1315"/>
      <c r="S477" s="1315"/>
      <c r="T477" s="1315"/>
      <c r="U477" s="1315"/>
    </row>
    <row r="478" spans="2:21">
      <c r="B478" s="1946"/>
      <c r="C478" s="1946"/>
      <c r="D478" s="1946"/>
      <c r="E478" s="1946"/>
      <c r="F478" s="1946"/>
      <c r="G478" s="1947"/>
      <c r="H478" s="1948"/>
      <c r="I478" s="1949"/>
      <c r="J478" s="1329">
        <f t="shared" ref="J478:J481" si="112">IF(G478&gt;=0,0,"C60&gt;=0")</f>
        <v>0</v>
      </c>
      <c r="K478" s="1329">
        <f t="shared" ref="K478:K481" si="113">IF(H478&gt;=0,0,"C70&gt;=0")</f>
        <v>0</v>
      </c>
      <c r="L478" s="1329"/>
      <c r="M478" s="1335">
        <f t="shared" ref="M478:M481" si="114">IF(G478&lt;=1,0,"c60&lt;=1")</f>
        <v>0</v>
      </c>
      <c r="N478" s="1335">
        <f t="shared" si="87"/>
        <v>0</v>
      </c>
      <c r="O478" s="1335"/>
      <c r="P478" s="1315"/>
      <c r="Q478" s="1315"/>
      <c r="R478" s="1315"/>
      <c r="S478" s="1315"/>
      <c r="T478" s="1315"/>
      <c r="U478" s="1315"/>
    </row>
    <row r="479" spans="2:21">
      <c r="B479" s="1946"/>
      <c r="C479" s="1946"/>
      <c r="D479" s="1946"/>
      <c r="E479" s="1946"/>
      <c r="F479" s="1946"/>
      <c r="G479" s="1947"/>
      <c r="H479" s="1948"/>
      <c r="I479" s="1949"/>
      <c r="J479" s="1329">
        <f t="shared" si="112"/>
        <v>0</v>
      </c>
      <c r="K479" s="1329">
        <f t="shared" si="113"/>
        <v>0</v>
      </c>
      <c r="L479" s="1329"/>
      <c r="M479" s="1335">
        <f t="shared" si="114"/>
        <v>0</v>
      </c>
      <c r="N479" s="1335">
        <f t="shared" si="87"/>
        <v>0</v>
      </c>
      <c r="O479" s="1335"/>
      <c r="P479" s="1315"/>
      <c r="Q479" s="1315"/>
      <c r="R479" s="1315"/>
      <c r="S479" s="1315"/>
      <c r="T479" s="1315"/>
      <c r="U479" s="1315"/>
    </row>
    <row r="480" spans="2:21">
      <c r="B480" s="1946"/>
      <c r="C480" s="1946"/>
      <c r="D480" s="1946"/>
      <c r="E480" s="1946"/>
      <c r="F480" s="1946"/>
      <c r="G480" s="1947"/>
      <c r="H480" s="1948"/>
      <c r="I480" s="1949"/>
      <c r="J480" s="1329">
        <f t="shared" si="112"/>
        <v>0</v>
      </c>
      <c r="K480" s="1329">
        <f t="shared" si="113"/>
        <v>0</v>
      </c>
      <c r="L480" s="1329"/>
      <c r="M480" s="1335">
        <f t="shared" si="114"/>
        <v>0</v>
      </c>
      <c r="N480" s="1335">
        <f t="shared" si="87"/>
        <v>0</v>
      </c>
      <c r="O480" s="1335"/>
      <c r="P480" s="1315"/>
      <c r="Q480" s="1315"/>
      <c r="R480" s="1315"/>
      <c r="S480" s="1315"/>
      <c r="T480" s="1315"/>
      <c r="U480" s="1315"/>
    </row>
    <row r="481" spans="2:21">
      <c r="B481" s="1946"/>
      <c r="C481" s="1946"/>
      <c r="D481" s="1946"/>
      <c r="E481" s="1946"/>
      <c r="F481" s="1946"/>
      <c r="G481" s="1947"/>
      <c r="H481" s="1948"/>
      <c r="I481" s="1949"/>
      <c r="J481" s="1329">
        <f t="shared" si="112"/>
        <v>0</v>
      </c>
      <c r="K481" s="1329">
        <f t="shared" si="113"/>
        <v>0</v>
      </c>
      <c r="L481" s="1329"/>
      <c r="M481" s="1335">
        <f t="shared" si="114"/>
        <v>0</v>
      </c>
      <c r="N481" s="1335">
        <f t="shared" si="87"/>
        <v>0</v>
      </c>
      <c r="O481" s="1335"/>
      <c r="P481" s="1315"/>
      <c r="Q481" s="1315"/>
      <c r="R481" s="1315"/>
      <c r="S481" s="1315"/>
      <c r="T481" s="1315"/>
      <c r="U481" s="1315"/>
    </row>
    <row r="482" spans="2:21">
      <c r="B482" s="1946"/>
      <c r="C482" s="1946"/>
      <c r="D482" s="1946"/>
      <c r="E482" s="1946"/>
      <c r="F482" s="1946"/>
      <c r="G482" s="1947"/>
      <c r="H482" s="1948"/>
      <c r="I482" s="1949"/>
      <c r="J482" s="1329">
        <f>IF(G482&gt;=0,0,"C60&gt;=0")</f>
        <v>0</v>
      </c>
      <c r="K482" s="1329">
        <f>IF(H482&gt;=0,0,"C70&gt;=0")</f>
        <v>0</v>
      </c>
      <c r="L482" s="1329"/>
      <c r="M482" s="1335">
        <f>IF(G482&lt;=1,0,"c60&lt;=1")</f>
        <v>0</v>
      </c>
      <c r="N482" s="1335">
        <f>IF(($G482*100)&gt;100,"C60 Invalid value greater than 100",IF(($G482*100)&lt;&gt;ROUND(($G482*100),2),($G482*100)&amp;": C60 Invalid no. of decimals",0))</f>
        <v>0</v>
      </c>
      <c r="O482" s="1335"/>
      <c r="P482" s="1315"/>
      <c r="Q482" s="1315"/>
      <c r="R482" s="1315"/>
      <c r="S482" s="1315"/>
      <c r="T482" s="1315"/>
      <c r="U482" s="1315"/>
    </row>
    <row r="483" spans="2:21">
      <c r="B483" s="1946"/>
      <c r="C483" s="1946"/>
      <c r="D483" s="1946"/>
      <c r="E483" s="1946"/>
      <c r="F483" s="1946"/>
      <c r="G483" s="1947"/>
      <c r="H483" s="1948"/>
      <c r="I483" s="1949"/>
      <c r="J483" s="1329">
        <f t="shared" ref="J483:J486" si="115">IF(G483&gt;=0,0,"C60&gt;=0")</f>
        <v>0</v>
      </c>
      <c r="K483" s="1329">
        <f t="shared" ref="K483:K486" si="116">IF(H483&gt;=0,0,"C70&gt;=0")</f>
        <v>0</v>
      </c>
      <c r="L483" s="1329"/>
      <c r="M483" s="1335">
        <f t="shared" ref="M483:M486" si="117">IF(G483&lt;=1,0,"c60&lt;=1")</f>
        <v>0</v>
      </c>
      <c r="N483" s="1335">
        <f t="shared" si="87"/>
        <v>0</v>
      </c>
      <c r="O483" s="1335"/>
      <c r="P483" s="1315"/>
      <c r="Q483" s="1315"/>
      <c r="R483" s="1315"/>
      <c r="S483" s="1315"/>
      <c r="T483" s="1315"/>
      <c r="U483" s="1315"/>
    </row>
    <row r="484" spans="2:21">
      <c r="B484" s="1946"/>
      <c r="C484" s="1946"/>
      <c r="D484" s="1946"/>
      <c r="E484" s="1946"/>
      <c r="F484" s="1946"/>
      <c r="G484" s="1947"/>
      <c r="H484" s="1948"/>
      <c r="I484" s="1949"/>
      <c r="J484" s="1329">
        <f t="shared" si="115"/>
        <v>0</v>
      </c>
      <c r="K484" s="1329">
        <f t="shared" si="116"/>
        <v>0</v>
      </c>
      <c r="L484" s="1329"/>
      <c r="M484" s="1335">
        <f t="shared" si="117"/>
        <v>0</v>
      </c>
      <c r="N484" s="1335">
        <f t="shared" si="87"/>
        <v>0</v>
      </c>
      <c r="O484" s="1335"/>
      <c r="P484" s="1315"/>
      <c r="Q484" s="1315"/>
      <c r="R484" s="1315"/>
      <c r="S484" s="1315"/>
      <c r="T484" s="1315"/>
      <c r="U484" s="1315"/>
    </row>
    <row r="485" spans="2:21">
      <c r="B485" s="1946"/>
      <c r="C485" s="1946"/>
      <c r="D485" s="1946"/>
      <c r="E485" s="1946"/>
      <c r="F485" s="1946"/>
      <c r="G485" s="1947"/>
      <c r="H485" s="1948"/>
      <c r="I485" s="1949"/>
      <c r="J485" s="1329">
        <f t="shared" si="115"/>
        <v>0</v>
      </c>
      <c r="K485" s="1329">
        <f t="shared" si="116"/>
        <v>0</v>
      </c>
      <c r="L485" s="1329"/>
      <c r="M485" s="1335">
        <f t="shared" si="117"/>
        <v>0</v>
      </c>
      <c r="N485" s="1335">
        <f t="shared" si="87"/>
        <v>0</v>
      </c>
      <c r="O485" s="1335"/>
      <c r="P485" s="1315"/>
      <c r="Q485" s="1315"/>
      <c r="R485" s="1315"/>
      <c r="S485" s="1315"/>
      <c r="T485" s="1315"/>
      <c r="U485" s="1315"/>
    </row>
    <row r="486" spans="2:21">
      <c r="B486" s="1946"/>
      <c r="C486" s="1946"/>
      <c r="D486" s="1946"/>
      <c r="E486" s="1946"/>
      <c r="F486" s="1946"/>
      <c r="G486" s="1947"/>
      <c r="H486" s="1948"/>
      <c r="I486" s="1949"/>
      <c r="J486" s="1329">
        <f t="shared" si="115"/>
        <v>0</v>
      </c>
      <c r="K486" s="1329">
        <f t="shared" si="116"/>
        <v>0</v>
      </c>
      <c r="L486" s="1329"/>
      <c r="M486" s="1335">
        <f t="shared" si="117"/>
        <v>0</v>
      </c>
      <c r="N486" s="1335">
        <f t="shared" si="87"/>
        <v>0</v>
      </c>
      <c r="O486" s="1335"/>
      <c r="P486" s="1315"/>
      <c r="Q486" s="1315"/>
      <c r="R486" s="1315"/>
      <c r="S486" s="1315"/>
      <c r="T486" s="1315"/>
      <c r="U486" s="1315"/>
    </row>
    <row r="487" spans="2:21">
      <c r="B487" s="1946"/>
      <c r="C487" s="1946"/>
      <c r="D487" s="1946"/>
      <c r="E487" s="1946"/>
      <c r="F487" s="1946"/>
      <c r="G487" s="1947"/>
      <c r="H487" s="1948"/>
      <c r="I487" s="1949"/>
      <c r="J487" s="1329">
        <f>IF(G487&gt;=0,0,"C60&gt;=0")</f>
        <v>0</v>
      </c>
      <c r="K487" s="1329">
        <f>IF(H487&gt;=0,0,"C70&gt;=0")</f>
        <v>0</v>
      </c>
      <c r="L487" s="1329"/>
      <c r="M487" s="1335">
        <f>IF(G487&lt;=1,0,"c60&lt;=1")</f>
        <v>0</v>
      </c>
      <c r="N487" s="1335">
        <f>IF(($G487*100)&gt;100,"C60 Invalid value greater than 100",IF(($G487*100)&lt;&gt;ROUND(($G487*100),2),($G487*100)&amp;": C60 Invalid no. of decimals",0))</f>
        <v>0</v>
      </c>
      <c r="O487" s="1335"/>
      <c r="P487" s="1315"/>
      <c r="Q487" s="1315"/>
      <c r="R487" s="1315"/>
      <c r="S487" s="1315"/>
      <c r="T487" s="1315"/>
      <c r="U487" s="1315"/>
    </row>
    <row r="488" spans="2:21">
      <c r="B488" s="1946"/>
      <c r="C488" s="1946"/>
      <c r="D488" s="1946"/>
      <c r="E488" s="1946"/>
      <c r="F488" s="1946"/>
      <c r="G488" s="1947"/>
      <c r="H488" s="1948"/>
      <c r="I488" s="1949"/>
      <c r="J488" s="1329">
        <f t="shared" ref="J488:J491" si="118">IF(G488&gt;=0,0,"C60&gt;=0")</f>
        <v>0</v>
      </c>
      <c r="K488" s="1329">
        <f t="shared" ref="K488:K491" si="119">IF(H488&gt;=0,0,"C70&gt;=0")</f>
        <v>0</v>
      </c>
      <c r="L488" s="1329"/>
      <c r="M488" s="1335">
        <f t="shared" ref="M488:M491" si="120">IF(G488&lt;=1,0,"c60&lt;=1")</f>
        <v>0</v>
      </c>
      <c r="N488" s="1335">
        <f t="shared" si="87"/>
        <v>0</v>
      </c>
      <c r="O488" s="1335"/>
      <c r="P488" s="1315"/>
      <c r="Q488" s="1315"/>
      <c r="R488" s="1315"/>
      <c r="S488" s="1315"/>
      <c r="T488" s="1315"/>
      <c r="U488" s="1315"/>
    </row>
    <row r="489" spans="2:21">
      <c r="B489" s="1946"/>
      <c r="C489" s="1946"/>
      <c r="D489" s="1946"/>
      <c r="E489" s="1946"/>
      <c r="F489" s="1946"/>
      <c r="G489" s="1947"/>
      <c r="H489" s="1948"/>
      <c r="I489" s="1949"/>
      <c r="J489" s="1329">
        <f t="shared" si="118"/>
        <v>0</v>
      </c>
      <c r="K489" s="1329">
        <f t="shared" si="119"/>
        <v>0</v>
      </c>
      <c r="L489" s="1329"/>
      <c r="M489" s="1335">
        <f t="shared" si="120"/>
        <v>0</v>
      </c>
      <c r="N489" s="1335">
        <f t="shared" si="87"/>
        <v>0</v>
      </c>
      <c r="O489" s="1335"/>
      <c r="P489" s="1315"/>
      <c r="Q489" s="1315"/>
      <c r="R489" s="1315"/>
      <c r="S489" s="1315"/>
      <c r="T489" s="1315"/>
      <c r="U489" s="1315"/>
    </row>
    <row r="490" spans="2:21">
      <c r="B490" s="1946"/>
      <c r="C490" s="1946"/>
      <c r="D490" s="1946"/>
      <c r="E490" s="1946"/>
      <c r="F490" s="1946"/>
      <c r="G490" s="1947"/>
      <c r="H490" s="1948"/>
      <c r="I490" s="1949"/>
      <c r="J490" s="1329">
        <f t="shared" si="118"/>
        <v>0</v>
      </c>
      <c r="K490" s="1329">
        <f t="shared" si="119"/>
        <v>0</v>
      </c>
      <c r="L490" s="1329"/>
      <c r="M490" s="1335">
        <f t="shared" si="120"/>
        <v>0</v>
      </c>
      <c r="N490" s="1335">
        <f t="shared" si="87"/>
        <v>0</v>
      </c>
      <c r="O490" s="1335"/>
      <c r="P490" s="1315"/>
      <c r="Q490" s="1315"/>
      <c r="R490" s="1315"/>
      <c r="S490" s="1315"/>
      <c r="T490" s="1315"/>
      <c r="U490" s="1315"/>
    </row>
    <row r="491" spans="2:21">
      <c r="B491" s="1946"/>
      <c r="C491" s="1946"/>
      <c r="D491" s="1946"/>
      <c r="E491" s="1946"/>
      <c r="F491" s="1946"/>
      <c r="G491" s="1947"/>
      <c r="H491" s="1948"/>
      <c r="I491" s="1949"/>
      <c r="J491" s="1329">
        <f t="shared" si="118"/>
        <v>0</v>
      </c>
      <c r="K491" s="1329">
        <f t="shared" si="119"/>
        <v>0</v>
      </c>
      <c r="L491" s="1329"/>
      <c r="M491" s="1335">
        <f t="shared" si="120"/>
        <v>0</v>
      </c>
      <c r="N491" s="1335">
        <f t="shared" si="87"/>
        <v>0</v>
      </c>
      <c r="O491" s="1335"/>
      <c r="P491" s="1315"/>
      <c r="Q491" s="1315"/>
      <c r="R491" s="1315"/>
      <c r="S491" s="1315"/>
      <c r="T491" s="1315"/>
      <c r="U491" s="1315"/>
    </row>
    <row r="492" spans="2:21">
      <c r="B492" s="1946"/>
      <c r="C492" s="1946"/>
      <c r="D492" s="1946"/>
      <c r="E492" s="1946"/>
      <c r="F492" s="1946"/>
      <c r="G492" s="1947"/>
      <c r="H492" s="1948"/>
      <c r="I492" s="1949"/>
      <c r="J492" s="1329">
        <f>IF(G492&gt;=0,0,"C60&gt;=0")</f>
        <v>0</v>
      </c>
      <c r="K492" s="1329">
        <f>IF(H492&gt;=0,0,"C70&gt;=0")</f>
        <v>0</v>
      </c>
      <c r="L492" s="1329"/>
      <c r="M492" s="1335">
        <f>IF(G492&lt;=1,0,"c60&lt;=1")</f>
        <v>0</v>
      </c>
      <c r="N492" s="1335">
        <f>IF(($G492*100)&gt;100,"C60 Invalid value greater than 100",IF(($G492*100)&lt;&gt;ROUND(($G492*100),2),($G492*100)&amp;": C60 Invalid no. of decimals",0))</f>
        <v>0</v>
      </c>
      <c r="O492" s="1335"/>
      <c r="P492" s="1315"/>
      <c r="Q492" s="1315"/>
      <c r="R492" s="1315"/>
      <c r="S492" s="1315"/>
      <c r="T492" s="1315"/>
      <c r="U492" s="1315"/>
    </row>
    <row r="493" spans="2:21">
      <c r="B493" s="1946"/>
      <c r="C493" s="1946"/>
      <c r="D493" s="1946"/>
      <c r="E493" s="1946"/>
      <c r="F493" s="1946"/>
      <c r="G493" s="1947"/>
      <c r="H493" s="1948"/>
      <c r="I493" s="1949"/>
      <c r="J493" s="1329">
        <f t="shared" ref="J493:J496" si="121">IF(G493&gt;=0,0,"C60&gt;=0")</f>
        <v>0</v>
      </c>
      <c r="K493" s="1329">
        <f t="shared" ref="K493:K496" si="122">IF(H493&gt;=0,0,"C70&gt;=0")</f>
        <v>0</v>
      </c>
      <c r="L493" s="1329"/>
      <c r="M493" s="1335">
        <f t="shared" ref="M493:M496" si="123">IF(G493&lt;=1,0,"c60&lt;=1")</f>
        <v>0</v>
      </c>
      <c r="N493" s="1335">
        <f t="shared" si="87"/>
        <v>0</v>
      </c>
      <c r="O493" s="1335"/>
      <c r="P493" s="1315"/>
      <c r="Q493" s="1315"/>
      <c r="R493" s="1315"/>
      <c r="S493" s="1315"/>
      <c r="T493" s="1315"/>
      <c r="U493" s="1315"/>
    </row>
    <row r="494" spans="2:21">
      <c r="B494" s="1946"/>
      <c r="C494" s="1946"/>
      <c r="D494" s="1946"/>
      <c r="E494" s="1946"/>
      <c r="F494" s="1946"/>
      <c r="G494" s="1947"/>
      <c r="H494" s="1948"/>
      <c r="I494" s="1949"/>
      <c r="J494" s="1329">
        <f t="shared" si="121"/>
        <v>0</v>
      </c>
      <c r="K494" s="1329">
        <f t="shared" si="122"/>
        <v>0</v>
      </c>
      <c r="L494" s="1329"/>
      <c r="M494" s="1335">
        <f t="shared" si="123"/>
        <v>0</v>
      </c>
      <c r="N494" s="1335">
        <f t="shared" si="87"/>
        <v>0</v>
      </c>
      <c r="O494" s="1335"/>
      <c r="P494" s="1315"/>
      <c r="Q494" s="1315"/>
      <c r="R494" s="1315"/>
      <c r="S494" s="1315"/>
      <c r="T494" s="1315"/>
      <c r="U494" s="1315"/>
    </row>
    <row r="495" spans="2:21">
      <c r="B495" s="1946"/>
      <c r="C495" s="1946"/>
      <c r="D495" s="1946"/>
      <c r="E495" s="1946"/>
      <c r="F495" s="1946"/>
      <c r="G495" s="1947"/>
      <c r="H495" s="1948"/>
      <c r="I495" s="1949"/>
      <c r="J495" s="1329">
        <f t="shared" si="121"/>
        <v>0</v>
      </c>
      <c r="K495" s="1329">
        <f t="shared" si="122"/>
        <v>0</v>
      </c>
      <c r="L495" s="1329"/>
      <c r="M495" s="1335">
        <f t="shared" si="123"/>
        <v>0</v>
      </c>
      <c r="N495" s="1335">
        <f t="shared" si="87"/>
        <v>0</v>
      </c>
      <c r="O495" s="1335"/>
      <c r="P495" s="1315"/>
      <c r="Q495" s="1315"/>
      <c r="R495" s="1315"/>
      <c r="S495" s="1315"/>
      <c r="T495" s="1315"/>
      <c r="U495" s="1315"/>
    </row>
    <row r="496" spans="2:21">
      <c r="B496" s="1946"/>
      <c r="C496" s="1946"/>
      <c r="D496" s="1946"/>
      <c r="E496" s="1946"/>
      <c r="F496" s="1946"/>
      <c r="G496" s="1947"/>
      <c r="H496" s="1948"/>
      <c r="I496" s="1949"/>
      <c r="J496" s="1329">
        <f t="shared" si="121"/>
        <v>0</v>
      </c>
      <c r="K496" s="1329">
        <f t="shared" si="122"/>
        <v>0</v>
      </c>
      <c r="L496" s="1329"/>
      <c r="M496" s="1335">
        <f t="shared" si="123"/>
        <v>0</v>
      </c>
      <c r="N496" s="1335">
        <f t="shared" si="87"/>
        <v>0</v>
      </c>
      <c r="O496" s="1335"/>
      <c r="P496" s="1315"/>
      <c r="Q496" s="1315"/>
      <c r="R496" s="1315"/>
      <c r="S496" s="1315"/>
      <c r="T496" s="1315"/>
      <c r="U496" s="1315"/>
    </row>
    <row r="497" spans="2:21">
      <c r="B497" s="1946"/>
      <c r="C497" s="1946"/>
      <c r="D497" s="1946"/>
      <c r="E497" s="1946"/>
      <c r="F497" s="1946"/>
      <c r="G497" s="1947"/>
      <c r="H497" s="1948"/>
      <c r="I497" s="1949"/>
      <c r="J497" s="1329">
        <f>IF(G497&gt;=0,0,"C60&gt;=0")</f>
        <v>0</v>
      </c>
      <c r="K497" s="1329">
        <f>IF(H497&gt;=0,0,"C70&gt;=0")</f>
        <v>0</v>
      </c>
      <c r="L497" s="1329"/>
      <c r="M497" s="1335">
        <f>IF(G497&lt;=1,0,"c60&lt;=1")</f>
        <v>0</v>
      </c>
      <c r="N497" s="1335">
        <f>IF(($G497*100)&gt;100,"C60 Invalid value greater than 100",IF(($G497*100)&lt;&gt;ROUND(($G497*100),2),($G497*100)&amp;": C60 Invalid no. of decimals",0))</f>
        <v>0</v>
      </c>
      <c r="O497" s="1335"/>
      <c r="P497" s="1315"/>
      <c r="Q497" s="1315"/>
      <c r="R497" s="1315"/>
      <c r="S497" s="1315"/>
      <c r="T497" s="1315"/>
      <c r="U497" s="1315"/>
    </row>
    <row r="498" spans="2:21">
      <c r="B498" s="1946"/>
      <c r="C498" s="1946"/>
      <c r="D498" s="1946"/>
      <c r="E498" s="1946"/>
      <c r="F498" s="1946"/>
      <c r="G498" s="1947"/>
      <c r="H498" s="1948"/>
      <c r="I498" s="1949"/>
      <c r="J498" s="1329">
        <f t="shared" ref="J498:J501" si="124">IF(G498&gt;=0,0,"C60&gt;=0")</f>
        <v>0</v>
      </c>
      <c r="K498" s="1329">
        <f t="shared" ref="K498:K501" si="125">IF(H498&gt;=0,0,"C70&gt;=0")</f>
        <v>0</v>
      </c>
      <c r="L498" s="1329"/>
      <c r="M498" s="1335">
        <f t="shared" ref="M498:M501" si="126">IF(G498&lt;=1,0,"c60&lt;=1")</f>
        <v>0</v>
      </c>
      <c r="N498" s="1335">
        <f t="shared" ref="N498:N511" si="127">IF(($G498*100)&gt;100,"C60 Invalid value greater than 100",IF(($G498*100)&lt;&gt;ROUND(($G498*100),2),($G498*100)&amp;": C60 Invalid no. of decimals",0))</f>
        <v>0</v>
      </c>
      <c r="O498" s="1335"/>
      <c r="P498" s="1315"/>
      <c r="Q498" s="1315"/>
      <c r="R498" s="1315"/>
      <c r="S498" s="1315"/>
      <c r="T498" s="1315"/>
      <c r="U498" s="1315"/>
    </row>
    <row r="499" spans="2:21">
      <c r="B499" s="1946"/>
      <c r="C499" s="1946"/>
      <c r="D499" s="1946"/>
      <c r="E499" s="1946"/>
      <c r="F499" s="1946"/>
      <c r="G499" s="1947"/>
      <c r="H499" s="1948"/>
      <c r="I499" s="1949"/>
      <c r="J499" s="1329">
        <f t="shared" si="124"/>
        <v>0</v>
      </c>
      <c r="K499" s="1329">
        <f t="shared" si="125"/>
        <v>0</v>
      </c>
      <c r="L499" s="1329"/>
      <c r="M499" s="1335">
        <f t="shared" si="126"/>
        <v>0</v>
      </c>
      <c r="N499" s="1335">
        <f t="shared" si="127"/>
        <v>0</v>
      </c>
      <c r="O499" s="1335"/>
      <c r="P499" s="1315"/>
      <c r="Q499" s="1315"/>
      <c r="R499" s="1315"/>
      <c r="S499" s="1315"/>
      <c r="T499" s="1315"/>
      <c r="U499" s="1315"/>
    </row>
    <row r="500" spans="2:21">
      <c r="B500" s="1946"/>
      <c r="C500" s="1946"/>
      <c r="D500" s="1946"/>
      <c r="E500" s="1946"/>
      <c r="F500" s="1946"/>
      <c r="G500" s="1947"/>
      <c r="H500" s="1948"/>
      <c r="I500" s="1949"/>
      <c r="J500" s="1329">
        <f t="shared" si="124"/>
        <v>0</v>
      </c>
      <c r="K500" s="1329">
        <f t="shared" si="125"/>
        <v>0</v>
      </c>
      <c r="L500" s="1329"/>
      <c r="M500" s="1335">
        <f t="shared" si="126"/>
        <v>0</v>
      </c>
      <c r="N500" s="1335">
        <f t="shared" si="127"/>
        <v>0</v>
      </c>
      <c r="O500" s="1335"/>
      <c r="P500" s="1315"/>
      <c r="Q500" s="1315"/>
      <c r="R500" s="1315"/>
      <c r="S500" s="1315"/>
      <c r="T500" s="1315"/>
      <c r="U500" s="1315"/>
    </row>
    <row r="501" spans="2:21">
      <c r="B501" s="1946"/>
      <c r="C501" s="1946"/>
      <c r="D501" s="1946"/>
      <c r="E501" s="1946"/>
      <c r="F501" s="1946"/>
      <c r="G501" s="1947"/>
      <c r="H501" s="1948"/>
      <c r="I501" s="1949"/>
      <c r="J501" s="1329">
        <f t="shared" si="124"/>
        <v>0</v>
      </c>
      <c r="K501" s="1329">
        <f t="shared" si="125"/>
        <v>0</v>
      </c>
      <c r="L501" s="1329"/>
      <c r="M501" s="1335">
        <f t="shared" si="126"/>
        <v>0</v>
      </c>
      <c r="N501" s="1335">
        <f t="shared" si="127"/>
        <v>0</v>
      </c>
      <c r="O501" s="1335"/>
      <c r="P501" s="1315"/>
      <c r="Q501" s="1315"/>
      <c r="R501" s="1315"/>
      <c r="S501" s="1315"/>
      <c r="T501" s="1315"/>
      <c r="U501" s="1315"/>
    </row>
    <row r="502" spans="2:21">
      <c r="B502" s="1946"/>
      <c r="C502" s="1946"/>
      <c r="D502" s="1946"/>
      <c r="E502" s="1946"/>
      <c r="F502" s="1946"/>
      <c r="G502" s="1947"/>
      <c r="H502" s="1948"/>
      <c r="I502" s="1949"/>
      <c r="J502" s="1329">
        <f>IF(G502&gt;=0,0,"C60&gt;=0")</f>
        <v>0</v>
      </c>
      <c r="K502" s="1329">
        <f>IF(H502&gt;=0,0,"C70&gt;=0")</f>
        <v>0</v>
      </c>
      <c r="L502" s="1329"/>
      <c r="M502" s="1335">
        <f>IF(G502&lt;=1,0,"c60&lt;=1")</f>
        <v>0</v>
      </c>
      <c r="N502" s="1335">
        <f>IF(($G502*100)&gt;100,"C60 Invalid value greater than 100",IF(($G502*100)&lt;&gt;ROUND(($G502*100),2),($G502*100)&amp;": C60 Invalid no. of decimals",0))</f>
        <v>0</v>
      </c>
      <c r="O502" s="1335"/>
      <c r="P502" s="1315"/>
      <c r="Q502" s="1315"/>
      <c r="R502" s="1315"/>
      <c r="S502" s="1315"/>
      <c r="T502" s="1315"/>
      <c r="U502" s="1315"/>
    </row>
    <row r="503" spans="2:21">
      <c r="B503" s="1946"/>
      <c r="C503" s="1946"/>
      <c r="D503" s="1946"/>
      <c r="E503" s="1946"/>
      <c r="F503" s="1946"/>
      <c r="G503" s="1947"/>
      <c r="H503" s="1948"/>
      <c r="I503" s="1949"/>
      <c r="J503" s="1329">
        <f t="shared" ref="J503:J506" si="128">IF(G503&gt;=0,0,"C60&gt;=0")</f>
        <v>0</v>
      </c>
      <c r="K503" s="1329">
        <f t="shared" ref="K503:K506" si="129">IF(H503&gt;=0,0,"C70&gt;=0")</f>
        <v>0</v>
      </c>
      <c r="L503" s="1329"/>
      <c r="M503" s="1335">
        <f t="shared" ref="M503:M506" si="130">IF(G503&lt;=1,0,"c60&lt;=1")</f>
        <v>0</v>
      </c>
      <c r="N503" s="1335">
        <f t="shared" si="127"/>
        <v>0</v>
      </c>
      <c r="O503" s="1335"/>
      <c r="P503" s="1315"/>
      <c r="Q503" s="1315"/>
      <c r="R503" s="1315"/>
      <c r="S503" s="1315"/>
      <c r="T503" s="1315"/>
      <c r="U503" s="1315"/>
    </row>
    <row r="504" spans="2:21">
      <c r="B504" s="1946"/>
      <c r="C504" s="1946"/>
      <c r="D504" s="1946"/>
      <c r="E504" s="1946"/>
      <c r="F504" s="1946"/>
      <c r="G504" s="1947"/>
      <c r="H504" s="1948"/>
      <c r="I504" s="1949"/>
      <c r="J504" s="1329">
        <f t="shared" si="128"/>
        <v>0</v>
      </c>
      <c r="K504" s="1329">
        <f t="shared" si="129"/>
        <v>0</v>
      </c>
      <c r="L504" s="1329"/>
      <c r="M504" s="1335">
        <f t="shared" si="130"/>
        <v>0</v>
      </c>
      <c r="N504" s="1335">
        <f t="shared" si="127"/>
        <v>0</v>
      </c>
      <c r="O504" s="1335"/>
      <c r="P504" s="1315"/>
      <c r="Q504" s="1315"/>
      <c r="R504" s="1315"/>
      <c r="S504" s="1315"/>
      <c r="T504" s="1315"/>
      <c r="U504" s="1315"/>
    </row>
    <row r="505" spans="2:21">
      <c r="B505" s="1946"/>
      <c r="C505" s="1946"/>
      <c r="D505" s="1946"/>
      <c r="E505" s="1946"/>
      <c r="F505" s="1946"/>
      <c r="G505" s="1947"/>
      <c r="H505" s="1948"/>
      <c r="I505" s="1949"/>
      <c r="J505" s="1329">
        <f t="shared" si="128"/>
        <v>0</v>
      </c>
      <c r="K505" s="1329">
        <f t="shared" si="129"/>
        <v>0</v>
      </c>
      <c r="L505" s="1329"/>
      <c r="M505" s="1335">
        <f t="shared" si="130"/>
        <v>0</v>
      </c>
      <c r="N505" s="1335">
        <f t="shared" si="127"/>
        <v>0</v>
      </c>
      <c r="O505" s="1335"/>
      <c r="P505" s="1315"/>
      <c r="Q505" s="1315"/>
      <c r="R505" s="1315"/>
      <c r="S505" s="1315"/>
      <c r="T505" s="1315"/>
      <c r="U505" s="1315"/>
    </row>
    <row r="506" spans="2:21">
      <c r="B506" s="1946"/>
      <c r="C506" s="1946"/>
      <c r="D506" s="1946"/>
      <c r="E506" s="1946"/>
      <c r="F506" s="1946"/>
      <c r="G506" s="1947"/>
      <c r="H506" s="1948"/>
      <c r="I506" s="1949"/>
      <c r="J506" s="1329">
        <f t="shared" si="128"/>
        <v>0</v>
      </c>
      <c r="K506" s="1329">
        <f t="shared" si="129"/>
        <v>0</v>
      </c>
      <c r="L506" s="1329"/>
      <c r="M506" s="1335">
        <f t="shared" si="130"/>
        <v>0</v>
      </c>
      <c r="N506" s="1335">
        <f t="shared" si="127"/>
        <v>0</v>
      </c>
      <c r="O506" s="1335"/>
      <c r="P506" s="1315"/>
      <c r="Q506" s="1315"/>
      <c r="R506" s="1315"/>
      <c r="S506" s="1315"/>
      <c r="T506" s="1315"/>
      <c r="U506" s="1315"/>
    </row>
    <row r="507" spans="2:21">
      <c r="B507" s="1946"/>
      <c r="C507" s="1946"/>
      <c r="D507" s="1946"/>
      <c r="E507" s="1946"/>
      <c r="F507" s="1946"/>
      <c r="G507" s="1947"/>
      <c r="H507" s="1948"/>
      <c r="I507" s="1949"/>
      <c r="J507" s="1329">
        <f>IF(G507&gt;=0,0,"C60&gt;=0")</f>
        <v>0</v>
      </c>
      <c r="K507" s="1329">
        <f>IF(H507&gt;=0,0,"C70&gt;=0")</f>
        <v>0</v>
      </c>
      <c r="L507" s="1329"/>
      <c r="M507" s="1335">
        <f>IF(G507&lt;=1,0,"c60&lt;=1")</f>
        <v>0</v>
      </c>
      <c r="N507" s="1335">
        <f>IF(($G507*100)&gt;100,"C60 Invalid value greater than 100",IF(($G507*100)&lt;&gt;ROUND(($G507*100),2),($G507*100)&amp;": C60 Invalid no. of decimals",0))</f>
        <v>0</v>
      </c>
      <c r="O507" s="1335"/>
      <c r="P507" s="1315"/>
      <c r="Q507" s="1315"/>
      <c r="R507" s="1315"/>
      <c r="S507" s="1315"/>
      <c r="T507" s="1315"/>
      <c r="U507" s="1315"/>
    </row>
    <row r="508" spans="2:21">
      <c r="B508" s="1946"/>
      <c r="C508" s="1946"/>
      <c r="D508" s="1946"/>
      <c r="E508" s="1946"/>
      <c r="F508" s="1946"/>
      <c r="G508" s="1947"/>
      <c r="H508" s="1948"/>
      <c r="I508" s="1949"/>
      <c r="J508" s="1329">
        <f t="shared" ref="J508:J511" si="131">IF(G508&gt;=0,0,"C60&gt;=0")</f>
        <v>0</v>
      </c>
      <c r="K508" s="1329">
        <f t="shared" ref="K508:K511" si="132">IF(H508&gt;=0,0,"C70&gt;=0")</f>
        <v>0</v>
      </c>
      <c r="L508" s="1329"/>
      <c r="M508" s="1335">
        <f t="shared" ref="M508:M511" si="133">IF(G508&lt;=1,0,"c60&lt;=1")</f>
        <v>0</v>
      </c>
      <c r="N508" s="1335">
        <f t="shared" si="127"/>
        <v>0</v>
      </c>
      <c r="O508" s="1335"/>
      <c r="P508" s="1315"/>
      <c r="Q508" s="1315"/>
      <c r="R508" s="1315"/>
      <c r="S508" s="1315"/>
      <c r="T508" s="1315"/>
      <c r="U508" s="1315"/>
    </row>
    <row r="509" spans="2:21">
      <c r="B509" s="1946"/>
      <c r="C509" s="1946"/>
      <c r="D509" s="1946"/>
      <c r="E509" s="1946"/>
      <c r="F509" s="1946"/>
      <c r="G509" s="1947"/>
      <c r="H509" s="1948"/>
      <c r="I509" s="1949"/>
      <c r="J509" s="1329">
        <f t="shared" si="131"/>
        <v>0</v>
      </c>
      <c r="K509" s="1329">
        <f t="shared" si="132"/>
        <v>0</v>
      </c>
      <c r="L509" s="1329"/>
      <c r="M509" s="1335">
        <f t="shared" si="133"/>
        <v>0</v>
      </c>
      <c r="N509" s="1335">
        <f t="shared" si="127"/>
        <v>0</v>
      </c>
      <c r="O509" s="1335"/>
      <c r="P509" s="1315"/>
      <c r="Q509" s="1315"/>
      <c r="R509" s="1315"/>
      <c r="S509" s="1315"/>
      <c r="T509" s="1315"/>
      <c r="U509" s="1315"/>
    </row>
    <row r="510" spans="2:21">
      <c r="B510" s="1946"/>
      <c r="C510" s="1946"/>
      <c r="D510" s="1946"/>
      <c r="E510" s="1946"/>
      <c r="F510" s="1946"/>
      <c r="G510" s="1947"/>
      <c r="H510" s="1948"/>
      <c r="I510" s="1949"/>
      <c r="J510" s="1329">
        <f t="shared" si="131"/>
        <v>0</v>
      </c>
      <c r="K510" s="1329">
        <f t="shared" si="132"/>
        <v>0</v>
      </c>
      <c r="L510" s="1329"/>
      <c r="M510" s="1335">
        <f t="shared" si="133"/>
        <v>0</v>
      </c>
      <c r="N510" s="1335">
        <f t="shared" si="127"/>
        <v>0</v>
      </c>
      <c r="O510" s="1335"/>
      <c r="P510" s="1315"/>
      <c r="Q510" s="1315"/>
      <c r="R510" s="1315"/>
      <c r="S510" s="1315"/>
      <c r="T510" s="1315"/>
      <c r="U510" s="1315"/>
    </row>
    <row r="511" spans="2:21">
      <c r="B511" s="1946"/>
      <c r="C511" s="1946"/>
      <c r="D511" s="1946"/>
      <c r="E511" s="1946"/>
      <c r="F511" s="1946"/>
      <c r="G511" s="1947"/>
      <c r="H511" s="1948"/>
      <c r="I511" s="1949"/>
      <c r="J511" s="1329">
        <f t="shared" si="131"/>
        <v>0</v>
      </c>
      <c r="K511" s="1329">
        <f t="shared" si="132"/>
        <v>0</v>
      </c>
      <c r="L511" s="1329"/>
      <c r="M511" s="1335">
        <f t="shared" si="133"/>
        <v>0</v>
      </c>
      <c r="N511" s="1335">
        <f t="shared" si="127"/>
        <v>0</v>
      </c>
      <c r="O511" s="1335"/>
      <c r="P511" s="1315"/>
      <c r="Q511" s="1315"/>
      <c r="R511" s="1315"/>
      <c r="S511" s="1315"/>
      <c r="T511" s="1315"/>
      <c r="U511" s="1315"/>
    </row>
    <row r="512" spans="2:21">
      <c r="B512" s="1946"/>
      <c r="C512" s="1946"/>
      <c r="D512" s="1946"/>
      <c r="E512" s="1946"/>
      <c r="F512" s="1946"/>
      <c r="G512" s="1947"/>
      <c r="H512" s="1948"/>
      <c r="I512" s="1949"/>
      <c r="J512" s="1329">
        <f>IF(G512&gt;=0,0,"C60&gt;=0")</f>
        <v>0</v>
      </c>
      <c r="K512" s="1329">
        <f>IF(H512&gt;=0,0,"C70&gt;=0")</f>
        <v>0</v>
      </c>
      <c r="L512" s="1329"/>
      <c r="M512" s="1335">
        <f>IF(G512&lt;=1,0,"c60&lt;=1")</f>
        <v>0</v>
      </c>
      <c r="N512" s="1335">
        <f>IF(($G512*100)&gt;100,"C60 Invalid value greater than 100",IF(($G512*100)&lt;&gt;ROUND(($G512*100),2),($G512*100)&amp;": C60 Invalid no. of decimals",0))</f>
        <v>0</v>
      </c>
      <c r="O512" s="1335"/>
      <c r="P512" s="1315"/>
      <c r="Q512" s="1315"/>
      <c r="R512" s="1315"/>
      <c r="S512" s="1315"/>
      <c r="T512" s="1315"/>
      <c r="U512" s="1315"/>
    </row>
    <row r="513" spans="2:21">
      <c r="B513" s="1946"/>
      <c r="C513" s="1946"/>
      <c r="D513" s="1946"/>
      <c r="E513" s="1946"/>
      <c r="F513" s="1946"/>
      <c r="G513" s="1947"/>
      <c r="H513" s="1948"/>
      <c r="I513" s="1949"/>
      <c r="J513" s="1329">
        <f t="shared" ref="J513:J516" si="134">IF(G513&gt;=0,0,"C60&gt;=0")</f>
        <v>0</v>
      </c>
      <c r="K513" s="1329">
        <f t="shared" ref="K513:K516" si="135">IF(H513&gt;=0,0,"C70&gt;=0")</f>
        <v>0</v>
      </c>
      <c r="L513" s="1329"/>
      <c r="M513" s="1335">
        <f t="shared" ref="M513:M516" si="136">IF(G513&lt;=1,0,"c60&lt;=1")</f>
        <v>0</v>
      </c>
      <c r="N513" s="1335">
        <f t="shared" ref="N513:N576" si="137">IF(($G513*100)&gt;100,"C60 Invalid value greater than 100",IF(($G513*100)&lt;&gt;ROUND(($G513*100),2),($G513*100)&amp;": C60 Invalid no. of decimals",0))</f>
        <v>0</v>
      </c>
      <c r="O513" s="1335"/>
      <c r="P513" s="1315"/>
      <c r="Q513" s="1315"/>
      <c r="R513" s="1315"/>
      <c r="S513" s="1315"/>
      <c r="T513" s="1315"/>
      <c r="U513" s="1315"/>
    </row>
    <row r="514" spans="2:21">
      <c r="B514" s="1946"/>
      <c r="C514" s="1946"/>
      <c r="D514" s="1946"/>
      <c r="E514" s="1946"/>
      <c r="F514" s="1946"/>
      <c r="G514" s="1947"/>
      <c r="H514" s="1948"/>
      <c r="I514" s="1949"/>
      <c r="J514" s="1329">
        <f t="shared" si="134"/>
        <v>0</v>
      </c>
      <c r="K514" s="1329">
        <f t="shared" si="135"/>
        <v>0</v>
      </c>
      <c r="L514" s="1329"/>
      <c r="M514" s="1335">
        <f t="shared" si="136"/>
        <v>0</v>
      </c>
      <c r="N514" s="1335">
        <f t="shared" si="137"/>
        <v>0</v>
      </c>
      <c r="O514" s="1335"/>
      <c r="P514" s="1315"/>
      <c r="Q514" s="1315"/>
      <c r="R514" s="1315"/>
      <c r="S514" s="1315"/>
      <c r="T514" s="1315"/>
      <c r="U514" s="1315"/>
    </row>
    <row r="515" spans="2:21">
      <c r="B515" s="1946"/>
      <c r="C515" s="1946"/>
      <c r="D515" s="1946"/>
      <c r="E515" s="1946"/>
      <c r="F515" s="1946"/>
      <c r="G515" s="1947"/>
      <c r="H515" s="1948"/>
      <c r="I515" s="1949"/>
      <c r="J515" s="1329">
        <f t="shared" si="134"/>
        <v>0</v>
      </c>
      <c r="K515" s="1329">
        <f t="shared" si="135"/>
        <v>0</v>
      </c>
      <c r="L515" s="1329"/>
      <c r="M515" s="1335">
        <f t="shared" si="136"/>
        <v>0</v>
      </c>
      <c r="N515" s="1335">
        <f t="shared" si="137"/>
        <v>0</v>
      </c>
      <c r="O515" s="1335"/>
      <c r="P515" s="1315"/>
      <c r="Q515" s="1315"/>
      <c r="R515" s="1315"/>
      <c r="S515" s="1315"/>
      <c r="T515" s="1315"/>
      <c r="U515" s="1315"/>
    </row>
    <row r="516" spans="2:21">
      <c r="B516" s="1946"/>
      <c r="C516" s="1946"/>
      <c r="D516" s="1946"/>
      <c r="E516" s="1946"/>
      <c r="F516" s="1946"/>
      <c r="G516" s="1947"/>
      <c r="H516" s="1948"/>
      <c r="I516" s="1949"/>
      <c r="J516" s="1329">
        <f t="shared" si="134"/>
        <v>0</v>
      </c>
      <c r="K516" s="1329">
        <f t="shared" si="135"/>
        <v>0</v>
      </c>
      <c r="L516" s="1329"/>
      <c r="M516" s="1335">
        <f t="shared" si="136"/>
        <v>0</v>
      </c>
      <c r="N516" s="1335">
        <f t="shared" si="137"/>
        <v>0</v>
      </c>
      <c r="O516" s="1335"/>
      <c r="P516" s="1315"/>
      <c r="Q516" s="1315"/>
      <c r="R516" s="1315"/>
      <c r="S516" s="1315"/>
      <c r="T516" s="1315"/>
      <c r="U516" s="1315"/>
    </row>
    <row r="517" spans="2:21">
      <c r="B517" s="1946"/>
      <c r="C517" s="1946"/>
      <c r="D517" s="1946"/>
      <c r="E517" s="1946"/>
      <c r="F517" s="1946"/>
      <c r="G517" s="1947"/>
      <c r="H517" s="1948"/>
      <c r="I517" s="1949"/>
      <c r="J517" s="1329">
        <f>IF(G517&gt;=0,0,"C60&gt;=0")</f>
        <v>0</v>
      </c>
      <c r="K517" s="1329">
        <f>IF(H517&gt;=0,0,"C70&gt;=0")</f>
        <v>0</v>
      </c>
      <c r="L517" s="1329"/>
      <c r="M517" s="1335">
        <f>IF(G517&lt;=1,0,"c60&lt;=1")</f>
        <v>0</v>
      </c>
      <c r="N517" s="1335">
        <f>IF(($G517*100)&gt;100,"C60 Invalid value greater than 100",IF(($G517*100)&lt;&gt;ROUND(($G517*100),2),($G517*100)&amp;": C60 Invalid no. of decimals",0))</f>
        <v>0</v>
      </c>
      <c r="O517" s="1335"/>
      <c r="P517" s="1315"/>
      <c r="Q517" s="1315"/>
      <c r="R517" s="1315"/>
      <c r="S517" s="1315"/>
      <c r="T517" s="1315"/>
      <c r="U517" s="1315"/>
    </row>
    <row r="518" spans="2:21">
      <c r="B518" s="1946"/>
      <c r="C518" s="1946"/>
      <c r="D518" s="1946"/>
      <c r="E518" s="1946"/>
      <c r="F518" s="1946"/>
      <c r="G518" s="1947"/>
      <c r="H518" s="1948"/>
      <c r="I518" s="1949"/>
      <c r="J518" s="1329">
        <f t="shared" ref="J518:J521" si="138">IF(G518&gt;=0,0,"C60&gt;=0")</f>
        <v>0</v>
      </c>
      <c r="K518" s="1329">
        <f t="shared" ref="K518:K521" si="139">IF(H518&gt;=0,0,"C70&gt;=0")</f>
        <v>0</v>
      </c>
      <c r="L518" s="1329"/>
      <c r="M518" s="1335">
        <f t="shared" ref="M518:M521" si="140">IF(G518&lt;=1,0,"c60&lt;=1")</f>
        <v>0</v>
      </c>
      <c r="N518" s="1335">
        <f t="shared" si="137"/>
        <v>0</v>
      </c>
      <c r="O518" s="1335"/>
      <c r="P518" s="1315"/>
      <c r="Q518" s="1315"/>
      <c r="R518" s="1315"/>
      <c r="S518" s="1315"/>
      <c r="T518" s="1315"/>
      <c r="U518" s="1315"/>
    </row>
    <row r="519" spans="2:21">
      <c r="B519" s="1946"/>
      <c r="C519" s="1946"/>
      <c r="D519" s="1946"/>
      <c r="E519" s="1946"/>
      <c r="F519" s="1946"/>
      <c r="G519" s="1947"/>
      <c r="H519" s="1948"/>
      <c r="I519" s="1949"/>
      <c r="J519" s="1329">
        <f t="shared" si="138"/>
        <v>0</v>
      </c>
      <c r="K519" s="1329">
        <f t="shared" si="139"/>
        <v>0</v>
      </c>
      <c r="L519" s="1329"/>
      <c r="M519" s="1335">
        <f t="shared" si="140"/>
        <v>0</v>
      </c>
      <c r="N519" s="1335">
        <f t="shared" si="137"/>
        <v>0</v>
      </c>
      <c r="O519" s="1335"/>
      <c r="P519" s="1315"/>
      <c r="Q519" s="1315"/>
      <c r="R519" s="1315"/>
      <c r="S519" s="1315"/>
      <c r="T519" s="1315"/>
      <c r="U519" s="1315"/>
    </row>
    <row r="520" spans="2:21">
      <c r="B520" s="1946"/>
      <c r="C520" s="1946"/>
      <c r="D520" s="1946"/>
      <c r="E520" s="1946"/>
      <c r="F520" s="1946"/>
      <c r="G520" s="1947"/>
      <c r="H520" s="1948"/>
      <c r="I520" s="1949"/>
      <c r="J520" s="1329">
        <f t="shared" si="138"/>
        <v>0</v>
      </c>
      <c r="K520" s="1329">
        <f t="shared" si="139"/>
        <v>0</v>
      </c>
      <c r="L520" s="1329"/>
      <c r="M520" s="1335">
        <f t="shared" si="140"/>
        <v>0</v>
      </c>
      <c r="N520" s="1335">
        <f t="shared" si="137"/>
        <v>0</v>
      </c>
      <c r="O520" s="1335"/>
      <c r="P520" s="1315"/>
      <c r="Q520" s="1315"/>
      <c r="R520" s="1315"/>
      <c r="S520" s="1315"/>
      <c r="T520" s="1315"/>
      <c r="U520" s="1315"/>
    </row>
    <row r="521" spans="2:21">
      <c r="B521" s="1946"/>
      <c r="C521" s="1946"/>
      <c r="D521" s="1946"/>
      <c r="E521" s="1946"/>
      <c r="F521" s="1946"/>
      <c r="G521" s="1947"/>
      <c r="H521" s="1948"/>
      <c r="I521" s="1949"/>
      <c r="J521" s="1329">
        <f t="shared" si="138"/>
        <v>0</v>
      </c>
      <c r="K521" s="1329">
        <f t="shared" si="139"/>
        <v>0</v>
      </c>
      <c r="L521" s="1329"/>
      <c r="M521" s="1335">
        <f t="shared" si="140"/>
        <v>0</v>
      </c>
      <c r="N521" s="1335">
        <f t="shared" si="137"/>
        <v>0</v>
      </c>
      <c r="O521" s="1335"/>
      <c r="P521" s="1315"/>
      <c r="Q521" s="1315"/>
      <c r="R521" s="1315"/>
      <c r="S521" s="1315"/>
      <c r="T521" s="1315"/>
      <c r="U521" s="1315"/>
    </row>
    <row r="522" spans="2:21">
      <c r="B522" s="1946"/>
      <c r="C522" s="1946"/>
      <c r="D522" s="1946"/>
      <c r="E522" s="1946"/>
      <c r="F522" s="1946"/>
      <c r="G522" s="1947"/>
      <c r="H522" s="1948"/>
      <c r="I522" s="1949"/>
      <c r="J522" s="1329">
        <f>IF(G522&gt;=0,0,"C60&gt;=0")</f>
        <v>0</v>
      </c>
      <c r="K522" s="1329">
        <f>IF(H522&gt;=0,0,"C70&gt;=0")</f>
        <v>0</v>
      </c>
      <c r="L522" s="1329"/>
      <c r="M522" s="1335">
        <f>IF(G522&lt;=1,0,"c60&lt;=1")</f>
        <v>0</v>
      </c>
      <c r="N522" s="1335">
        <f>IF(($G522*100)&gt;100,"C60 Invalid value greater than 100",IF(($G522*100)&lt;&gt;ROUND(($G522*100),2),($G522*100)&amp;": C60 Invalid no. of decimals",0))</f>
        <v>0</v>
      </c>
      <c r="O522" s="1335"/>
      <c r="P522" s="1315"/>
      <c r="Q522" s="1315"/>
      <c r="R522" s="1315"/>
      <c r="S522" s="1315"/>
      <c r="T522" s="1315"/>
      <c r="U522" s="1315"/>
    </row>
    <row r="523" spans="2:21">
      <c r="B523" s="1946"/>
      <c r="C523" s="1946"/>
      <c r="D523" s="1946"/>
      <c r="E523" s="1946"/>
      <c r="F523" s="1946"/>
      <c r="G523" s="1947"/>
      <c r="H523" s="1948"/>
      <c r="I523" s="1949"/>
      <c r="J523" s="1329">
        <f t="shared" ref="J523:J526" si="141">IF(G523&gt;=0,0,"C60&gt;=0")</f>
        <v>0</v>
      </c>
      <c r="K523" s="1329">
        <f t="shared" ref="K523:K526" si="142">IF(H523&gt;=0,0,"C70&gt;=0")</f>
        <v>0</v>
      </c>
      <c r="L523" s="1329"/>
      <c r="M523" s="1335">
        <f t="shared" ref="M523:M526" si="143">IF(G523&lt;=1,0,"c60&lt;=1")</f>
        <v>0</v>
      </c>
      <c r="N523" s="1335">
        <f t="shared" si="137"/>
        <v>0</v>
      </c>
      <c r="O523" s="1335"/>
      <c r="P523" s="1315"/>
      <c r="Q523" s="1315"/>
      <c r="R523" s="1315"/>
      <c r="S523" s="1315"/>
      <c r="T523" s="1315"/>
      <c r="U523" s="1315"/>
    </row>
    <row r="524" spans="2:21">
      <c r="B524" s="1946"/>
      <c r="C524" s="1946"/>
      <c r="D524" s="1946"/>
      <c r="E524" s="1946"/>
      <c r="F524" s="1946"/>
      <c r="G524" s="1947"/>
      <c r="H524" s="1948"/>
      <c r="I524" s="1949"/>
      <c r="J524" s="1329">
        <f t="shared" si="141"/>
        <v>0</v>
      </c>
      <c r="K524" s="1329">
        <f t="shared" si="142"/>
        <v>0</v>
      </c>
      <c r="L524" s="1329"/>
      <c r="M524" s="1335">
        <f t="shared" si="143"/>
        <v>0</v>
      </c>
      <c r="N524" s="1335">
        <f t="shared" si="137"/>
        <v>0</v>
      </c>
      <c r="O524" s="1335"/>
      <c r="P524" s="1315"/>
      <c r="Q524" s="1315"/>
      <c r="R524" s="1315"/>
      <c r="S524" s="1315"/>
      <c r="T524" s="1315"/>
      <c r="U524" s="1315"/>
    </row>
    <row r="525" spans="2:21">
      <c r="B525" s="1946"/>
      <c r="C525" s="1946"/>
      <c r="D525" s="1946"/>
      <c r="E525" s="1946"/>
      <c r="F525" s="1946"/>
      <c r="G525" s="1947"/>
      <c r="H525" s="1948"/>
      <c r="I525" s="1949"/>
      <c r="J525" s="1329">
        <f t="shared" si="141"/>
        <v>0</v>
      </c>
      <c r="K525" s="1329">
        <f t="shared" si="142"/>
        <v>0</v>
      </c>
      <c r="L525" s="1329"/>
      <c r="M525" s="1335">
        <f t="shared" si="143"/>
        <v>0</v>
      </c>
      <c r="N525" s="1335">
        <f t="shared" si="137"/>
        <v>0</v>
      </c>
      <c r="O525" s="1335"/>
      <c r="P525" s="1315"/>
      <c r="Q525" s="1315"/>
      <c r="R525" s="1315"/>
      <c r="S525" s="1315"/>
      <c r="T525" s="1315"/>
      <c r="U525" s="1315"/>
    </row>
    <row r="526" spans="2:21">
      <c r="B526" s="1946"/>
      <c r="C526" s="1946"/>
      <c r="D526" s="1946"/>
      <c r="E526" s="1946"/>
      <c r="F526" s="1946"/>
      <c r="G526" s="1947"/>
      <c r="H526" s="1948"/>
      <c r="I526" s="1949"/>
      <c r="J526" s="1329">
        <f t="shared" si="141"/>
        <v>0</v>
      </c>
      <c r="K526" s="1329">
        <f t="shared" si="142"/>
        <v>0</v>
      </c>
      <c r="L526" s="1329"/>
      <c r="M526" s="1335">
        <f t="shared" si="143"/>
        <v>0</v>
      </c>
      <c r="N526" s="1335">
        <f t="shared" si="137"/>
        <v>0</v>
      </c>
      <c r="O526" s="1335"/>
      <c r="P526" s="1315"/>
      <c r="Q526" s="1315"/>
      <c r="R526" s="1315"/>
      <c r="S526" s="1315"/>
      <c r="T526" s="1315"/>
      <c r="U526" s="1315"/>
    </row>
    <row r="527" spans="2:21">
      <c r="B527" s="1946"/>
      <c r="C527" s="1946"/>
      <c r="D527" s="1946"/>
      <c r="E527" s="1946"/>
      <c r="F527" s="1946"/>
      <c r="G527" s="1947"/>
      <c r="H527" s="1948"/>
      <c r="I527" s="1949"/>
      <c r="J527" s="1329">
        <f>IF(G527&gt;=0,0,"C60&gt;=0")</f>
        <v>0</v>
      </c>
      <c r="K527" s="1329">
        <f>IF(H527&gt;=0,0,"C70&gt;=0")</f>
        <v>0</v>
      </c>
      <c r="L527" s="1329"/>
      <c r="M527" s="1335">
        <f>IF(G527&lt;=1,0,"c60&lt;=1")</f>
        <v>0</v>
      </c>
      <c r="N527" s="1335">
        <f>IF(($G527*100)&gt;100,"C60 Invalid value greater than 100",IF(($G527*100)&lt;&gt;ROUND(($G527*100),2),($G527*100)&amp;": C60 Invalid no. of decimals",0))</f>
        <v>0</v>
      </c>
      <c r="O527" s="1335"/>
      <c r="P527" s="1315"/>
      <c r="Q527" s="1315"/>
      <c r="R527" s="1315"/>
      <c r="S527" s="1315"/>
      <c r="T527" s="1315"/>
      <c r="U527" s="1315"/>
    </row>
    <row r="528" spans="2:21">
      <c r="B528" s="1946"/>
      <c r="C528" s="1946"/>
      <c r="D528" s="1946"/>
      <c r="E528" s="1946"/>
      <c r="F528" s="1946"/>
      <c r="G528" s="1947"/>
      <c r="H528" s="1948"/>
      <c r="I528" s="1949"/>
      <c r="J528" s="1329">
        <f t="shared" ref="J528:J531" si="144">IF(G528&gt;=0,0,"C60&gt;=0")</f>
        <v>0</v>
      </c>
      <c r="K528" s="1329">
        <f t="shared" ref="K528:K531" si="145">IF(H528&gt;=0,0,"C70&gt;=0")</f>
        <v>0</v>
      </c>
      <c r="L528" s="1329"/>
      <c r="M528" s="1335">
        <f t="shared" ref="M528:M531" si="146">IF(G528&lt;=1,0,"c60&lt;=1")</f>
        <v>0</v>
      </c>
      <c r="N528" s="1335">
        <f t="shared" si="137"/>
        <v>0</v>
      </c>
      <c r="O528" s="1335"/>
      <c r="P528" s="1315"/>
      <c r="Q528" s="1315"/>
      <c r="R528" s="1315"/>
      <c r="S528" s="1315"/>
      <c r="T528" s="1315"/>
      <c r="U528" s="1315"/>
    </row>
    <row r="529" spans="2:21">
      <c r="B529" s="1946"/>
      <c r="C529" s="1946"/>
      <c r="D529" s="1946"/>
      <c r="E529" s="1946"/>
      <c r="F529" s="1946"/>
      <c r="G529" s="1947"/>
      <c r="H529" s="1948"/>
      <c r="I529" s="1949"/>
      <c r="J529" s="1329">
        <f t="shared" si="144"/>
        <v>0</v>
      </c>
      <c r="K529" s="1329">
        <f t="shared" si="145"/>
        <v>0</v>
      </c>
      <c r="L529" s="1329"/>
      <c r="M529" s="1335">
        <f t="shared" si="146"/>
        <v>0</v>
      </c>
      <c r="N529" s="1335">
        <f t="shared" si="137"/>
        <v>0</v>
      </c>
      <c r="O529" s="1335"/>
      <c r="P529" s="1315"/>
      <c r="Q529" s="1315"/>
      <c r="R529" s="1315"/>
      <c r="S529" s="1315"/>
      <c r="T529" s="1315"/>
      <c r="U529" s="1315"/>
    </row>
    <row r="530" spans="2:21">
      <c r="B530" s="1946"/>
      <c r="C530" s="1946"/>
      <c r="D530" s="1946"/>
      <c r="E530" s="1946"/>
      <c r="F530" s="1946"/>
      <c r="G530" s="1947"/>
      <c r="H530" s="1948"/>
      <c r="I530" s="1949"/>
      <c r="J530" s="1329">
        <f t="shared" si="144"/>
        <v>0</v>
      </c>
      <c r="K530" s="1329">
        <f t="shared" si="145"/>
        <v>0</v>
      </c>
      <c r="L530" s="1329"/>
      <c r="M530" s="1335">
        <f t="shared" si="146"/>
        <v>0</v>
      </c>
      <c r="N530" s="1335">
        <f t="shared" si="137"/>
        <v>0</v>
      </c>
      <c r="O530" s="1335"/>
      <c r="P530" s="1315"/>
      <c r="Q530" s="1315"/>
      <c r="R530" s="1315"/>
      <c r="S530" s="1315"/>
      <c r="T530" s="1315"/>
      <c r="U530" s="1315"/>
    </row>
    <row r="531" spans="2:21">
      <c r="B531" s="1946"/>
      <c r="C531" s="1946"/>
      <c r="D531" s="1946"/>
      <c r="E531" s="1946"/>
      <c r="F531" s="1946"/>
      <c r="G531" s="1947"/>
      <c r="H531" s="1948"/>
      <c r="I531" s="1949"/>
      <c r="J531" s="1329">
        <f t="shared" si="144"/>
        <v>0</v>
      </c>
      <c r="K531" s="1329">
        <f t="shared" si="145"/>
        <v>0</v>
      </c>
      <c r="L531" s="1329"/>
      <c r="M531" s="1335">
        <f t="shared" si="146"/>
        <v>0</v>
      </c>
      <c r="N531" s="1335">
        <f t="shared" si="137"/>
        <v>0</v>
      </c>
      <c r="O531" s="1335"/>
      <c r="P531" s="1315"/>
      <c r="Q531" s="1315"/>
      <c r="R531" s="1315"/>
      <c r="S531" s="1315"/>
      <c r="T531" s="1315"/>
      <c r="U531" s="1315"/>
    </row>
    <row r="532" spans="2:21">
      <c r="B532" s="1946"/>
      <c r="C532" s="1946"/>
      <c r="D532" s="1946"/>
      <c r="E532" s="1946"/>
      <c r="F532" s="1946"/>
      <c r="G532" s="1947"/>
      <c r="H532" s="1948"/>
      <c r="I532" s="1949"/>
      <c r="J532" s="1329">
        <f>IF(G532&gt;=0,0,"C60&gt;=0")</f>
        <v>0</v>
      </c>
      <c r="K532" s="1329">
        <f>IF(H532&gt;=0,0,"C70&gt;=0")</f>
        <v>0</v>
      </c>
      <c r="L532" s="1329"/>
      <c r="M532" s="1335">
        <f>IF(G532&lt;=1,0,"c60&lt;=1")</f>
        <v>0</v>
      </c>
      <c r="N532" s="1335">
        <f>IF(($G532*100)&gt;100,"C60 Invalid value greater than 100",IF(($G532*100)&lt;&gt;ROUND(($G532*100),2),($G532*100)&amp;": C60 Invalid no. of decimals",0))</f>
        <v>0</v>
      </c>
      <c r="O532" s="1335"/>
      <c r="P532" s="1315"/>
      <c r="Q532" s="1315"/>
      <c r="R532" s="1315"/>
      <c r="S532" s="1315"/>
      <c r="T532" s="1315"/>
      <c r="U532" s="1315"/>
    </row>
    <row r="533" spans="2:21">
      <c r="B533" s="1946"/>
      <c r="C533" s="1946"/>
      <c r="D533" s="1946"/>
      <c r="E533" s="1946"/>
      <c r="F533" s="1946"/>
      <c r="G533" s="1947"/>
      <c r="H533" s="1948"/>
      <c r="I533" s="1949"/>
      <c r="J533" s="1329">
        <f t="shared" ref="J533:J536" si="147">IF(G533&gt;=0,0,"C60&gt;=0")</f>
        <v>0</v>
      </c>
      <c r="K533" s="1329">
        <f t="shared" ref="K533:K536" si="148">IF(H533&gt;=0,0,"C70&gt;=0")</f>
        <v>0</v>
      </c>
      <c r="L533" s="1329"/>
      <c r="M533" s="1335">
        <f t="shared" ref="M533:M536" si="149">IF(G533&lt;=1,0,"c60&lt;=1")</f>
        <v>0</v>
      </c>
      <c r="N533" s="1335">
        <f t="shared" si="137"/>
        <v>0</v>
      </c>
      <c r="O533" s="1335"/>
      <c r="P533" s="1315"/>
      <c r="Q533" s="1315"/>
      <c r="R533" s="1315"/>
      <c r="S533" s="1315"/>
      <c r="T533" s="1315"/>
      <c r="U533" s="1315"/>
    </row>
    <row r="534" spans="2:21">
      <c r="B534" s="1946"/>
      <c r="C534" s="1946"/>
      <c r="D534" s="1946"/>
      <c r="E534" s="1946"/>
      <c r="F534" s="1946"/>
      <c r="G534" s="1947"/>
      <c r="H534" s="1948"/>
      <c r="I534" s="1949"/>
      <c r="J534" s="1329">
        <f t="shared" si="147"/>
        <v>0</v>
      </c>
      <c r="K534" s="1329">
        <f t="shared" si="148"/>
        <v>0</v>
      </c>
      <c r="L534" s="1329"/>
      <c r="M534" s="1335">
        <f t="shared" si="149"/>
        <v>0</v>
      </c>
      <c r="N534" s="1335">
        <f t="shared" si="137"/>
        <v>0</v>
      </c>
      <c r="O534" s="1335"/>
      <c r="P534" s="1315"/>
      <c r="Q534" s="1315"/>
      <c r="R534" s="1315"/>
      <c r="S534" s="1315"/>
      <c r="T534" s="1315"/>
      <c r="U534" s="1315"/>
    </row>
    <row r="535" spans="2:21">
      <c r="B535" s="1946"/>
      <c r="C535" s="1946"/>
      <c r="D535" s="1946"/>
      <c r="E535" s="1946"/>
      <c r="F535" s="1946"/>
      <c r="G535" s="1947"/>
      <c r="H535" s="1948"/>
      <c r="I535" s="1949"/>
      <c r="J535" s="1329">
        <f t="shared" si="147"/>
        <v>0</v>
      </c>
      <c r="K535" s="1329">
        <f t="shared" si="148"/>
        <v>0</v>
      </c>
      <c r="L535" s="1329"/>
      <c r="M535" s="1335">
        <f t="shared" si="149"/>
        <v>0</v>
      </c>
      <c r="N535" s="1335">
        <f t="shared" si="137"/>
        <v>0</v>
      </c>
      <c r="O535" s="1335"/>
      <c r="P535" s="1315"/>
      <c r="Q535" s="1315"/>
      <c r="R535" s="1315"/>
      <c r="S535" s="1315"/>
      <c r="T535" s="1315"/>
      <c r="U535" s="1315"/>
    </row>
    <row r="536" spans="2:21">
      <c r="B536" s="1946"/>
      <c r="C536" s="1946"/>
      <c r="D536" s="1946"/>
      <c r="E536" s="1946"/>
      <c r="F536" s="1946"/>
      <c r="G536" s="1947"/>
      <c r="H536" s="1948"/>
      <c r="I536" s="1949"/>
      <c r="J536" s="1329">
        <f t="shared" si="147"/>
        <v>0</v>
      </c>
      <c r="K536" s="1329">
        <f t="shared" si="148"/>
        <v>0</v>
      </c>
      <c r="L536" s="1329"/>
      <c r="M536" s="1335">
        <f t="shared" si="149"/>
        <v>0</v>
      </c>
      <c r="N536" s="1335">
        <f t="shared" si="137"/>
        <v>0</v>
      </c>
      <c r="O536" s="1335"/>
      <c r="P536" s="1315"/>
      <c r="Q536" s="1315"/>
      <c r="R536" s="1315"/>
      <c r="S536" s="1315"/>
      <c r="T536" s="1315"/>
      <c r="U536" s="1315"/>
    </row>
    <row r="537" spans="2:21">
      <c r="B537" s="1946"/>
      <c r="C537" s="1946"/>
      <c r="D537" s="1946"/>
      <c r="E537" s="1946"/>
      <c r="F537" s="1946"/>
      <c r="G537" s="1947"/>
      <c r="H537" s="1948"/>
      <c r="I537" s="1949"/>
      <c r="J537" s="1329">
        <f>IF(G537&gt;=0,0,"C60&gt;=0")</f>
        <v>0</v>
      </c>
      <c r="K537" s="1329">
        <f>IF(H537&gt;=0,0,"C70&gt;=0")</f>
        <v>0</v>
      </c>
      <c r="L537" s="1329"/>
      <c r="M537" s="1335">
        <f>IF(G537&lt;=1,0,"c60&lt;=1")</f>
        <v>0</v>
      </c>
      <c r="N537" s="1335">
        <f>IF(($G537*100)&gt;100,"C60 Invalid value greater than 100",IF(($G537*100)&lt;&gt;ROUND(($G537*100),2),($G537*100)&amp;": C60 Invalid no. of decimals",0))</f>
        <v>0</v>
      </c>
      <c r="O537" s="1335"/>
      <c r="P537" s="1315"/>
      <c r="Q537" s="1315"/>
      <c r="R537" s="1315"/>
      <c r="S537" s="1315"/>
      <c r="T537" s="1315"/>
      <c r="U537" s="1315"/>
    </row>
    <row r="538" spans="2:21">
      <c r="B538" s="1946"/>
      <c r="C538" s="1946"/>
      <c r="D538" s="1946"/>
      <c r="E538" s="1946"/>
      <c r="F538" s="1946"/>
      <c r="G538" s="1947"/>
      <c r="H538" s="1948"/>
      <c r="I538" s="1949"/>
      <c r="J538" s="1329">
        <f t="shared" ref="J538:J541" si="150">IF(G538&gt;=0,0,"C60&gt;=0")</f>
        <v>0</v>
      </c>
      <c r="K538" s="1329">
        <f t="shared" ref="K538:K541" si="151">IF(H538&gt;=0,0,"C70&gt;=0")</f>
        <v>0</v>
      </c>
      <c r="L538" s="1329"/>
      <c r="M538" s="1335">
        <f t="shared" ref="M538:M541" si="152">IF(G538&lt;=1,0,"c60&lt;=1")</f>
        <v>0</v>
      </c>
      <c r="N538" s="1335">
        <f t="shared" si="137"/>
        <v>0</v>
      </c>
      <c r="O538" s="1335"/>
      <c r="P538" s="1315"/>
      <c r="Q538" s="1315"/>
      <c r="R538" s="1315"/>
      <c r="S538" s="1315"/>
      <c r="T538" s="1315"/>
      <c r="U538" s="1315"/>
    </row>
    <row r="539" spans="2:21">
      <c r="B539" s="1946"/>
      <c r="C539" s="1946"/>
      <c r="D539" s="1946"/>
      <c r="E539" s="1946"/>
      <c r="F539" s="1946"/>
      <c r="G539" s="1947"/>
      <c r="H539" s="1948"/>
      <c r="I539" s="1949"/>
      <c r="J539" s="1329">
        <f t="shared" si="150"/>
        <v>0</v>
      </c>
      <c r="K539" s="1329">
        <f t="shared" si="151"/>
        <v>0</v>
      </c>
      <c r="L539" s="1329"/>
      <c r="M539" s="1335">
        <f t="shared" si="152"/>
        <v>0</v>
      </c>
      <c r="N539" s="1335">
        <f t="shared" si="137"/>
        <v>0</v>
      </c>
      <c r="O539" s="1335"/>
      <c r="P539" s="1315"/>
      <c r="Q539" s="1315"/>
      <c r="R539" s="1315"/>
      <c r="S539" s="1315"/>
      <c r="T539" s="1315"/>
      <c r="U539" s="1315"/>
    </row>
    <row r="540" spans="2:21">
      <c r="B540" s="1946"/>
      <c r="C540" s="1946"/>
      <c r="D540" s="1946"/>
      <c r="E540" s="1946"/>
      <c r="F540" s="1946"/>
      <c r="G540" s="1947"/>
      <c r="H540" s="1948"/>
      <c r="I540" s="1949"/>
      <c r="J540" s="1329">
        <f t="shared" si="150"/>
        <v>0</v>
      </c>
      <c r="K540" s="1329">
        <f t="shared" si="151"/>
        <v>0</v>
      </c>
      <c r="L540" s="1329"/>
      <c r="M540" s="1335">
        <f t="shared" si="152"/>
        <v>0</v>
      </c>
      <c r="N540" s="1335">
        <f t="shared" si="137"/>
        <v>0</v>
      </c>
      <c r="O540" s="1335"/>
      <c r="P540" s="1315"/>
      <c r="Q540" s="1315"/>
      <c r="R540" s="1315"/>
      <c r="S540" s="1315"/>
      <c r="T540" s="1315"/>
      <c r="U540" s="1315"/>
    </row>
    <row r="541" spans="2:21">
      <c r="B541" s="1946"/>
      <c r="C541" s="1946"/>
      <c r="D541" s="1946"/>
      <c r="E541" s="1946"/>
      <c r="F541" s="1946"/>
      <c r="G541" s="1947"/>
      <c r="H541" s="1948"/>
      <c r="I541" s="1949"/>
      <c r="J541" s="1329">
        <f t="shared" si="150"/>
        <v>0</v>
      </c>
      <c r="K541" s="1329">
        <f t="shared" si="151"/>
        <v>0</v>
      </c>
      <c r="L541" s="1329"/>
      <c r="M541" s="1335">
        <f t="shared" si="152"/>
        <v>0</v>
      </c>
      <c r="N541" s="1335">
        <f t="shared" si="137"/>
        <v>0</v>
      </c>
      <c r="O541" s="1335"/>
      <c r="P541" s="1315"/>
      <c r="Q541" s="1315"/>
      <c r="R541" s="1315"/>
      <c r="S541" s="1315"/>
      <c r="T541" s="1315"/>
      <c r="U541" s="1315"/>
    </row>
    <row r="542" spans="2:21">
      <c r="B542" s="1946"/>
      <c r="C542" s="1946"/>
      <c r="D542" s="1946"/>
      <c r="E542" s="1946"/>
      <c r="F542" s="1946"/>
      <c r="G542" s="1947"/>
      <c r="H542" s="1948"/>
      <c r="I542" s="1949"/>
      <c r="J542" s="1329">
        <f>IF(G542&gt;=0,0,"C60&gt;=0")</f>
        <v>0</v>
      </c>
      <c r="K542" s="1329">
        <f>IF(H542&gt;=0,0,"C70&gt;=0")</f>
        <v>0</v>
      </c>
      <c r="L542" s="1329"/>
      <c r="M542" s="1335">
        <f>IF(G542&lt;=1,0,"c60&lt;=1")</f>
        <v>0</v>
      </c>
      <c r="N542" s="1335">
        <f>IF(($G542*100)&gt;100,"C60 Invalid value greater than 100",IF(($G542*100)&lt;&gt;ROUND(($G542*100),2),($G542*100)&amp;": C60 Invalid no. of decimals",0))</f>
        <v>0</v>
      </c>
      <c r="O542" s="1335"/>
      <c r="P542" s="1315"/>
      <c r="Q542" s="1315"/>
      <c r="R542" s="1315"/>
      <c r="S542" s="1315"/>
      <c r="T542" s="1315"/>
      <c r="U542" s="1315"/>
    </row>
    <row r="543" spans="2:21">
      <c r="B543" s="1946"/>
      <c r="C543" s="1946"/>
      <c r="D543" s="1946"/>
      <c r="E543" s="1946"/>
      <c r="F543" s="1946"/>
      <c r="G543" s="1947"/>
      <c r="H543" s="1948"/>
      <c r="I543" s="1949"/>
      <c r="J543" s="1329">
        <f t="shared" ref="J543:J546" si="153">IF(G543&gt;=0,0,"C60&gt;=0")</f>
        <v>0</v>
      </c>
      <c r="K543" s="1329">
        <f t="shared" ref="K543:K546" si="154">IF(H543&gt;=0,0,"C70&gt;=0")</f>
        <v>0</v>
      </c>
      <c r="L543" s="1329"/>
      <c r="M543" s="1335">
        <f t="shared" ref="M543:M546" si="155">IF(G543&lt;=1,0,"c60&lt;=1")</f>
        <v>0</v>
      </c>
      <c r="N543" s="1335">
        <f t="shared" si="137"/>
        <v>0</v>
      </c>
      <c r="O543" s="1335"/>
      <c r="P543" s="1315"/>
      <c r="Q543" s="1315"/>
      <c r="R543" s="1315"/>
      <c r="S543" s="1315"/>
      <c r="T543" s="1315"/>
      <c r="U543" s="1315"/>
    </row>
    <row r="544" spans="2:21">
      <c r="B544" s="1946"/>
      <c r="C544" s="1946"/>
      <c r="D544" s="1946"/>
      <c r="E544" s="1946"/>
      <c r="F544" s="1946"/>
      <c r="G544" s="1947"/>
      <c r="H544" s="1948"/>
      <c r="I544" s="1949"/>
      <c r="J544" s="1329">
        <f t="shared" si="153"/>
        <v>0</v>
      </c>
      <c r="K544" s="1329">
        <f t="shared" si="154"/>
        <v>0</v>
      </c>
      <c r="L544" s="1329"/>
      <c r="M544" s="1335">
        <f t="shared" si="155"/>
        <v>0</v>
      </c>
      <c r="N544" s="1335">
        <f t="shared" si="137"/>
        <v>0</v>
      </c>
      <c r="O544" s="1335"/>
      <c r="P544" s="1315"/>
      <c r="Q544" s="1315"/>
      <c r="R544" s="1315"/>
      <c r="S544" s="1315"/>
      <c r="T544" s="1315"/>
      <c r="U544" s="1315"/>
    </row>
    <row r="545" spans="2:21">
      <c r="B545" s="1946"/>
      <c r="C545" s="1946"/>
      <c r="D545" s="1946"/>
      <c r="E545" s="1946"/>
      <c r="F545" s="1946"/>
      <c r="G545" s="1947"/>
      <c r="H545" s="1948"/>
      <c r="I545" s="1949"/>
      <c r="J545" s="1329">
        <f t="shared" si="153"/>
        <v>0</v>
      </c>
      <c r="K545" s="1329">
        <f t="shared" si="154"/>
        <v>0</v>
      </c>
      <c r="L545" s="1329"/>
      <c r="M545" s="1335">
        <f t="shared" si="155"/>
        <v>0</v>
      </c>
      <c r="N545" s="1335">
        <f t="shared" si="137"/>
        <v>0</v>
      </c>
      <c r="O545" s="1335"/>
      <c r="P545" s="1315"/>
      <c r="Q545" s="1315"/>
      <c r="R545" s="1315"/>
      <c r="S545" s="1315"/>
      <c r="T545" s="1315"/>
      <c r="U545" s="1315"/>
    </row>
    <row r="546" spans="2:21">
      <c r="B546" s="1946"/>
      <c r="C546" s="1946"/>
      <c r="D546" s="1946"/>
      <c r="E546" s="1946"/>
      <c r="F546" s="1946"/>
      <c r="G546" s="1947"/>
      <c r="H546" s="1948"/>
      <c r="I546" s="1949"/>
      <c r="J546" s="1329">
        <f t="shared" si="153"/>
        <v>0</v>
      </c>
      <c r="K546" s="1329">
        <f t="shared" si="154"/>
        <v>0</v>
      </c>
      <c r="L546" s="1329"/>
      <c r="M546" s="1335">
        <f t="shared" si="155"/>
        <v>0</v>
      </c>
      <c r="N546" s="1335">
        <f t="shared" si="137"/>
        <v>0</v>
      </c>
      <c r="O546" s="1335"/>
      <c r="P546" s="1315"/>
      <c r="Q546" s="1315"/>
      <c r="R546" s="1315"/>
      <c r="S546" s="1315"/>
      <c r="T546" s="1315"/>
      <c r="U546" s="1315"/>
    </row>
    <row r="547" spans="2:21">
      <c r="B547" s="1946"/>
      <c r="C547" s="1946"/>
      <c r="D547" s="1946"/>
      <c r="E547" s="1946"/>
      <c r="F547" s="1946"/>
      <c r="G547" s="1947"/>
      <c r="H547" s="1948"/>
      <c r="I547" s="1949"/>
      <c r="J547" s="1329">
        <f>IF(G547&gt;=0,0,"C60&gt;=0")</f>
        <v>0</v>
      </c>
      <c r="K547" s="1329">
        <f>IF(H547&gt;=0,0,"C70&gt;=0")</f>
        <v>0</v>
      </c>
      <c r="L547" s="1329"/>
      <c r="M547" s="1335">
        <f>IF(G547&lt;=1,0,"c60&lt;=1")</f>
        <v>0</v>
      </c>
      <c r="N547" s="1335">
        <f>IF(($G547*100)&gt;100,"C60 Invalid value greater than 100",IF(($G547*100)&lt;&gt;ROUND(($G547*100),2),($G547*100)&amp;": C60 Invalid no. of decimals",0))</f>
        <v>0</v>
      </c>
      <c r="O547" s="1335"/>
      <c r="P547" s="1315"/>
      <c r="Q547" s="1315"/>
      <c r="R547" s="1315"/>
      <c r="S547" s="1315"/>
      <c r="T547" s="1315"/>
      <c r="U547" s="1315"/>
    </row>
    <row r="548" spans="2:21">
      <c r="B548" s="1946"/>
      <c r="C548" s="1946"/>
      <c r="D548" s="1946"/>
      <c r="E548" s="1946"/>
      <c r="F548" s="1946"/>
      <c r="G548" s="1947"/>
      <c r="H548" s="1948"/>
      <c r="I548" s="1949"/>
      <c r="J548" s="1329">
        <f t="shared" ref="J548:J551" si="156">IF(G548&gt;=0,0,"C60&gt;=0")</f>
        <v>0</v>
      </c>
      <c r="K548" s="1329">
        <f t="shared" ref="K548:K551" si="157">IF(H548&gt;=0,0,"C70&gt;=0")</f>
        <v>0</v>
      </c>
      <c r="L548" s="1329"/>
      <c r="M548" s="1335">
        <f t="shared" ref="M548:M551" si="158">IF(G548&lt;=1,0,"c60&lt;=1")</f>
        <v>0</v>
      </c>
      <c r="N548" s="1335">
        <f t="shared" si="137"/>
        <v>0</v>
      </c>
      <c r="O548" s="1335"/>
      <c r="P548" s="1315"/>
      <c r="Q548" s="1315"/>
      <c r="R548" s="1315"/>
      <c r="S548" s="1315"/>
      <c r="T548" s="1315"/>
      <c r="U548" s="1315"/>
    </row>
    <row r="549" spans="2:21">
      <c r="B549" s="1946"/>
      <c r="C549" s="1946"/>
      <c r="D549" s="1946"/>
      <c r="E549" s="1946"/>
      <c r="F549" s="1946"/>
      <c r="G549" s="1947"/>
      <c r="H549" s="1948"/>
      <c r="I549" s="1949"/>
      <c r="J549" s="1329">
        <f t="shared" si="156"/>
        <v>0</v>
      </c>
      <c r="K549" s="1329">
        <f t="shared" si="157"/>
        <v>0</v>
      </c>
      <c r="L549" s="1329"/>
      <c r="M549" s="1335">
        <f t="shared" si="158"/>
        <v>0</v>
      </c>
      <c r="N549" s="1335">
        <f t="shared" si="137"/>
        <v>0</v>
      </c>
      <c r="O549" s="1335"/>
      <c r="P549" s="1315"/>
      <c r="Q549" s="1315"/>
      <c r="R549" s="1315"/>
      <c r="S549" s="1315"/>
      <c r="T549" s="1315"/>
      <c r="U549" s="1315"/>
    </row>
    <row r="550" spans="2:21">
      <c r="B550" s="1946"/>
      <c r="C550" s="1946"/>
      <c r="D550" s="1946"/>
      <c r="E550" s="1946"/>
      <c r="F550" s="1946"/>
      <c r="G550" s="1947"/>
      <c r="H550" s="1948"/>
      <c r="I550" s="1949"/>
      <c r="J550" s="1329">
        <f t="shared" si="156"/>
        <v>0</v>
      </c>
      <c r="K550" s="1329">
        <f t="shared" si="157"/>
        <v>0</v>
      </c>
      <c r="L550" s="1329"/>
      <c r="M550" s="1335">
        <f t="shared" si="158"/>
        <v>0</v>
      </c>
      <c r="N550" s="1335">
        <f t="shared" si="137"/>
        <v>0</v>
      </c>
      <c r="O550" s="1335"/>
      <c r="P550" s="1315"/>
      <c r="Q550" s="1315"/>
      <c r="R550" s="1315"/>
      <c r="S550" s="1315"/>
      <c r="T550" s="1315"/>
      <c r="U550" s="1315"/>
    </row>
    <row r="551" spans="2:21">
      <c r="B551" s="1946"/>
      <c r="C551" s="1946"/>
      <c r="D551" s="1946"/>
      <c r="E551" s="1946"/>
      <c r="F551" s="1946"/>
      <c r="G551" s="1947"/>
      <c r="H551" s="1948"/>
      <c r="I551" s="1949"/>
      <c r="J551" s="1329">
        <f t="shared" si="156"/>
        <v>0</v>
      </c>
      <c r="K551" s="1329">
        <f t="shared" si="157"/>
        <v>0</v>
      </c>
      <c r="L551" s="1329"/>
      <c r="M551" s="1335">
        <f t="shared" si="158"/>
        <v>0</v>
      </c>
      <c r="N551" s="1335">
        <f t="shared" si="137"/>
        <v>0</v>
      </c>
      <c r="O551" s="1335"/>
      <c r="P551" s="1315"/>
      <c r="Q551" s="1315"/>
      <c r="R551" s="1315"/>
      <c r="S551" s="1315"/>
      <c r="T551" s="1315"/>
      <c r="U551" s="1315"/>
    </row>
    <row r="552" spans="2:21">
      <c r="B552" s="1946"/>
      <c r="C552" s="1946"/>
      <c r="D552" s="1946"/>
      <c r="E552" s="1946"/>
      <c r="F552" s="1946"/>
      <c r="G552" s="1947"/>
      <c r="H552" s="1948"/>
      <c r="I552" s="1949"/>
      <c r="J552" s="1329">
        <f>IF(G552&gt;=0,0,"C60&gt;=0")</f>
        <v>0</v>
      </c>
      <c r="K552" s="1329">
        <f>IF(H552&gt;=0,0,"C70&gt;=0")</f>
        <v>0</v>
      </c>
      <c r="L552" s="1329"/>
      <c r="M552" s="1335">
        <f>IF(G552&lt;=1,0,"c60&lt;=1")</f>
        <v>0</v>
      </c>
      <c r="N552" s="1335">
        <f>IF(($G552*100)&gt;100,"C60 Invalid value greater than 100",IF(($G552*100)&lt;&gt;ROUND(($G552*100),2),($G552*100)&amp;": C60 Invalid no. of decimals",0))</f>
        <v>0</v>
      </c>
      <c r="O552" s="1335"/>
      <c r="P552" s="1315"/>
      <c r="Q552" s="1315"/>
      <c r="R552" s="1315"/>
      <c r="S552" s="1315"/>
      <c r="T552" s="1315"/>
      <c r="U552" s="1315"/>
    </row>
    <row r="553" spans="2:21">
      <c r="B553" s="1946"/>
      <c r="C553" s="1946"/>
      <c r="D553" s="1946"/>
      <c r="E553" s="1946"/>
      <c r="F553" s="1946"/>
      <c r="G553" s="1947"/>
      <c r="H553" s="1948"/>
      <c r="I553" s="1949"/>
      <c r="J553" s="1329">
        <f t="shared" ref="J553:J556" si="159">IF(G553&gt;=0,0,"C60&gt;=0")</f>
        <v>0</v>
      </c>
      <c r="K553" s="1329">
        <f t="shared" ref="K553:K556" si="160">IF(H553&gt;=0,0,"C70&gt;=0")</f>
        <v>0</v>
      </c>
      <c r="L553" s="1329"/>
      <c r="M553" s="1335">
        <f t="shared" ref="M553:M556" si="161">IF(G553&lt;=1,0,"c60&lt;=1")</f>
        <v>0</v>
      </c>
      <c r="N553" s="1335">
        <f t="shared" si="137"/>
        <v>0</v>
      </c>
      <c r="O553" s="1335"/>
      <c r="P553" s="1315"/>
      <c r="Q553" s="1315"/>
      <c r="R553" s="1315"/>
      <c r="S553" s="1315"/>
      <c r="T553" s="1315"/>
      <c r="U553" s="1315"/>
    </row>
    <row r="554" spans="2:21">
      <c r="B554" s="1946"/>
      <c r="C554" s="1946"/>
      <c r="D554" s="1946"/>
      <c r="E554" s="1946"/>
      <c r="F554" s="1946"/>
      <c r="G554" s="1947"/>
      <c r="H554" s="1948"/>
      <c r="I554" s="1949"/>
      <c r="J554" s="1329">
        <f t="shared" si="159"/>
        <v>0</v>
      </c>
      <c r="K554" s="1329">
        <f t="shared" si="160"/>
        <v>0</v>
      </c>
      <c r="L554" s="1329"/>
      <c r="M554" s="1335">
        <f t="shared" si="161"/>
        <v>0</v>
      </c>
      <c r="N554" s="1335">
        <f t="shared" si="137"/>
        <v>0</v>
      </c>
      <c r="O554" s="1335"/>
      <c r="P554" s="1315"/>
      <c r="Q554" s="1315"/>
      <c r="R554" s="1315"/>
      <c r="S554" s="1315"/>
      <c r="T554" s="1315"/>
      <c r="U554" s="1315"/>
    </row>
    <row r="555" spans="2:21">
      <c r="B555" s="1946"/>
      <c r="C555" s="1946"/>
      <c r="D555" s="1946"/>
      <c r="E555" s="1946"/>
      <c r="F555" s="1946"/>
      <c r="G555" s="1947"/>
      <c r="H555" s="1948"/>
      <c r="I555" s="1949"/>
      <c r="J555" s="1329">
        <f t="shared" si="159"/>
        <v>0</v>
      </c>
      <c r="K555" s="1329">
        <f t="shared" si="160"/>
        <v>0</v>
      </c>
      <c r="L555" s="1329"/>
      <c r="M555" s="1335">
        <f t="shared" si="161"/>
        <v>0</v>
      </c>
      <c r="N555" s="1335">
        <f t="shared" si="137"/>
        <v>0</v>
      </c>
      <c r="O555" s="1335"/>
      <c r="P555" s="1315"/>
      <c r="Q555" s="1315"/>
      <c r="R555" s="1315"/>
      <c r="S555" s="1315"/>
      <c r="T555" s="1315"/>
      <c r="U555" s="1315"/>
    </row>
    <row r="556" spans="2:21">
      <c r="B556" s="1946"/>
      <c r="C556" s="1946"/>
      <c r="D556" s="1946"/>
      <c r="E556" s="1946"/>
      <c r="F556" s="1946"/>
      <c r="G556" s="1947"/>
      <c r="H556" s="1948"/>
      <c r="I556" s="1949"/>
      <c r="J556" s="1329">
        <f t="shared" si="159"/>
        <v>0</v>
      </c>
      <c r="K556" s="1329">
        <f t="shared" si="160"/>
        <v>0</v>
      </c>
      <c r="L556" s="1329"/>
      <c r="M556" s="1335">
        <f t="shared" si="161"/>
        <v>0</v>
      </c>
      <c r="N556" s="1335">
        <f t="shared" si="137"/>
        <v>0</v>
      </c>
      <c r="O556" s="1335"/>
      <c r="P556" s="1315"/>
      <c r="Q556" s="1315"/>
      <c r="R556" s="1315"/>
      <c r="S556" s="1315"/>
      <c r="T556" s="1315"/>
      <c r="U556" s="1315"/>
    </row>
    <row r="557" spans="2:21">
      <c r="B557" s="1946"/>
      <c r="C557" s="1946"/>
      <c r="D557" s="1946"/>
      <c r="E557" s="1946"/>
      <c r="F557" s="1946"/>
      <c r="G557" s="1947"/>
      <c r="H557" s="1948"/>
      <c r="I557" s="1949"/>
      <c r="J557" s="1329">
        <f>IF(G557&gt;=0,0,"C60&gt;=0")</f>
        <v>0</v>
      </c>
      <c r="K557" s="1329">
        <f>IF(H557&gt;=0,0,"C70&gt;=0")</f>
        <v>0</v>
      </c>
      <c r="L557" s="1329"/>
      <c r="M557" s="1335">
        <f>IF(G557&lt;=1,0,"c60&lt;=1")</f>
        <v>0</v>
      </c>
      <c r="N557" s="1335">
        <f>IF(($G557*100)&gt;100,"C60 Invalid value greater than 100",IF(($G557*100)&lt;&gt;ROUND(($G557*100),2),($G557*100)&amp;": C60 Invalid no. of decimals",0))</f>
        <v>0</v>
      </c>
      <c r="O557" s="1335"/>
      <c r="P557" s="1315"/>
      <c r="Q557" s="1315"/>
      <c r="R557" s="1315"/>
      <c r="S557" s="1315"/>
      <c r="T557" s="1315"/>
      <c r="U557" s="1315"/>
    </row>
    <row r="558" spans="2:21">
      <c r="B558" s="1946"/>
      <c r="C558" s="1946"/>
      <c r="D558" s="1946"/>
      <c r="E558" s="1946"/>
      <c r="F558" s="1946"/>
      <c r="G558" s="1947"/>
      <c r="H558" s="1948"/>
      <c r="I558" s="1949"/>
      <c r="J558" s="1329">
        <f t="shared" ref="J558:J561" si="162">IF(G558&gt;=0,0,"C60&gt;=0")</f>
        <v>0</v>
      </c>
      <c r="K558" s="1329">
        <f t="shared" ref="K558:K561" si="163">IF(H558&gt;=0,0,"C70&gt;=0")</f>
        <v>0</v>
      </c>
      <c r="L558" s="1329"/>
      <c r="M558" s="1335">
        <f t="shared" ref="M558:M561" si="164">IF(G558&lt;=1,0,"c60&lt;=1")</f>
        <v>0</v>
      </c>
      <c r="N558" s="1335">
        <f t="shared" si="137"/>
        <v>0</v>
      </c>
      <c r="O558" s="1335"/>
      <c r="P558" s="1315"/>
      <c r="Q558" s="1315"/>
      <c r="R558" s="1315"/>
      <c r="S558" s="1315"/>
      <c r="T558" s="1315"/>
      <c r="U558" s="1315"/>
    </row>
    <row r="559" spans="2:21">
      <c r="B559" s="1946"/>
      <c r="C559" s="1946"/>
      <c r="D559" s="1946"/>
      <c r="E559" s="1946"/>
      <c r="F559" s="1946"/>
      <c r="G559" s="1947"/>
      <c r="H559" s="1948"/>
      <c r="I559" s="1949"/>
      <c r="J559" s="1329">
        <f t="shared" si="162"/>
        <v>0</v>
      </c>
      <c r="K559" s="1329">
        <f t="shared" si="163"/>
        <v>0</v>
      </c>
      <c r="L559" s="1329"/>
      <c r="M559" s="1335">
        <f t="shared" si="164"/>
        <v>0</v>
      </c>
      <c r="N559" s="1335">
        <f t="shared" si="137"/>
        <v>0</v>
      </c>
      <c r="O559" s="1335"/>
      <c r="P559" s="1315"/>
      <c r="Q559" s="1315"/>
      <c r="R559" s="1315"/>
      <c r="S559" s="1315"/>
      <c r="T559" s="1315"/>
      <c r="U559" s="1315"/>
    </row>
    <row r="560" spans="2:21">
      <c r="B560" s="1946"/>
      <c r="C560" s="1946"/>
      <c r="D560" s="1946"/>
      <c r="E560" s="1946"/>
      <c r="F560" s="1946"/>
      <c r="G560" s="1947"/>
      <c r="H560" s="1948"/>
      <c r="I560" s="1949"/>
      <c r="J560" s="1329">
        <f t="shared" si="162"/>
        <v>0</v>
      </c>
      <c r="K560" s="1329">
        <f t="shared" si="163"/>
        <v>0</v>
      </c>
      <c r="L560" s="1329"/>
      <c r="M560" s="1335">
        <f t="shared" si="164"/>
        <v>0</v>
      </c>
      <c r="N560" s="1335">
        <f t="shared" si="137"/>
        <v>0</v>
      </c>
      <c r="O560" s="1335"/>
      <c r="P560" s="1315"/>
      <c r="Q560" s="1315"/>
      <c r="R560" s="1315"/>
      <c r="S560" s="1315"/>
      <c r="T560" s="1315"/>
      <c r="U560" s="1315"/>
    </row>
    <row r="561" spans="2:21">
      <c r="B561" s="1946"/>
      <c r="C561" s="1946"/>
      <c r="D561" s="1946"/>
      <c r="E561" s="1946"/>
      <c r="F561" s="1946"/>
      <c r="G561" s="1947"/>
      <c r="H561" s="1948"/>
      <c r="I561" s="1949"/>
      <c r="J561" s="1329">
        <f t="shared" si="162"/>
        <v>0</v>
      </c>
      <c r="K561" s="1329">
        <f t="shared" si="163"/>
        <v>0</v>
      </c>
      <c r="L561" s="1329"/>
      <c r="M561" s="1335">
        <f t="shared" si="164"/>
        <v>0</v>
      </c>
      <c r="N561" s="1335">
        <f t="shared" si="137"/>
        <v>0</v>
      </c>
      <c r="O561" s="1335"/>
      <c r="P561" s="1315"/>
      <c r="Q561" s="1315"/>
      <c r="R561" s="1315"/>
      <c r="S561" s="1315"/>
      <c r="T561" s="1315"/>
      <c r="U561" s="1315"/>
    </row>
    <row r="562" spans="2:21">
      <c r="B562" s="1946"/>
      <c r="C562" s="1946"/>
      <c r="D562" s="1946"/>
      <c r="E562" s="1946"/>
      <c r="F562" s="1946"/>
      <c r="G562" s="1947"/>
      <c r="H562" s="1948"/>
      <c r="I562" s="1949"/>
      <c r="J562" s="1329">
        <f>IF(G562&gt;=0,0,"C60&gt;=0")</f>
        <v>0</v>
      </c>
      <c r="K562" s="1329">
        <f>IF(H562&gt;=0,0,"C70&gt;=0")</f>
        <v>0</v>
      </c>
      <c r="L562" s="1329"/>
      <c r="M562" s="1335">
        <f>IF(G562&lt;=1,0,"c60&lt;=1")</f>
        <v>0</v>
      </c>
      <c r="N562" s="1335">
        <f>IF(($G562*100)&gt;100,"C60 Invalid value greater than 100",IF(($G562*100)&lt;&gt;ROUND(($G562*100),2),($G562*100)&amp;": C60 Invalid no. of decimals",0))</f>
        <v>0</v>
      </c>
      <c r="O562" s="1335"/>
      <c r="P562" s="1315"/>
      <c r="Q562" s="1315"/>
      <c r="R562" s="1315"/>
      <c r="S562" s="1315"/>
      <c r="T562" s="1315"/>
      <c r="U562" s="1315"/>
    </row>
    <row r="563" spans="2:21">
      <c r="B563" s="1946"/>
      <c r="C563" s="1946"/>
      <c r="D563" s="1946"/>
      <c r="E563" s="1946"/>
      <c r="F563" s="1946"/>
      <c r="G563" s="1947"/>
      <c r="H563" s="1948"/>
      <c r="I563" s="1949"/>
      <c r="J563" s="1329">
        <f t="shared" ref="J563:J566" si="165">IF(G563&gt;=0,0,"C60&gt;=0")</f>
        <v>0</v>
      </c>
      <c r="K563" s="1329">
        <f t="shared" ref="K563:K566" si="166">IF(H563&gt;=0,0,"C70&gt;=0")</f>
        <v>0</v>
      </c>
      <c r="L563" s="1329"/>
      <c r="M563" s="1335">
        <f t="shared" ref="M563:M566" si="167">IF(G563&lt;=1,0,"c60&lt;=1")</f>
        <v>0</v>
      </c>
      <c r="N563" s="1335">
        <f t="shared" si="137"/>
        <v>0</v>
      </c>
      <c r="O563" s="1335"/>
      <c r="P563" s="1315"/>
      <c r="Q563" s="1315"/>
      <c r="R563" s="1315"/>
      <c r="S563" s="1315"/>
      <c r="T563" s="1315"/>
      <c r="U563" s="1315"/>
    </row>
    <row r="564" spans="2:21">
      <c r="B564" s="1946"/>
      <c r="C564" s="1946"/>
      <c r="D564" s="1946"/>
      <c r="E564" s="1946"/>
      <c r="F564" s="1946"/>
      <c r="G564" s="1947"/>
      <c r="H564" s="1948"/>
      <c r="I564" s="1949"/>
      <c r="J564" s="1329">
        <f t="shared" si="165"/>
        <v>0</v>
      </c>
      <c r="K564" s="1329">
        <f t="shared" si="166"/>
        <v>0</v>
      </c>
      <c r="L564" s="1329"/>
      <c r="M564" s="1335">
        <f t="shared" si="167"/>
        <v>0</v>
      </c>
      <c r="N564" s="1335">
        <f t="shared" si="137"/>
        <v>0</v>
      </c>
      <c r="O564" s="1335"/>
      <c r="P564" s="1315"/>
      <c r="Q564" s="1315"/>
      <c r="R564" s="1315"/>
      <c r="S564" s="1315"/>
      <c r="T564" s="1315"/>
      <c r="U564" s="1315"/>
    </row>
    <row r="565" spans="2:21">
      <c r="B565" s="1946"/>
      <c r="C565" s="1946"/>
      <c r="D565" s="1946"/>
      <c r="E565" s="1946"/>
      <c r="F565" s="1946"/>
      <c r="G565" s="1947"/>
      <c r="H565" s="1948"/>
      <c r="I565" s="1949"/>
      <c r="J565" s="1329">
        <f t="shared" si="165"/>
        <v>0</v>
      </c>
      <c r="K565" s="1329">
        <f t="shared" si="166"/>
        <v>0</v>
      </c>
      <c r="L565" s="1329"/>
      <c r="M565" s="1335">
        <f t="shared" si="167"/>
        <v>0</v>
      </c>
      <c r="N565" s="1335">
        <f t="shared" si="137"/>
        <v>0</v>
      </c>
      <c r="O565" s="1335"/>
      <c r="P565" s="1315"/>
      <c r="Q565" s="1315"/>
      <c r="R565" s="1315"/>
      <c r="S565" s="1315"/>
      <c r="T565" s="1315"/>
      <c r="U565" s="1315"/>
    </row>
    <row r="566" spans="2:21">
      <c r="B566" s="1946"/>
      <c r="C566" s="1946"/>
      <c r="D566" s="1946"/>
      <c r="E566" s="1946"/>
      <c r="F566" s="1946"/>
      <c r="G566" s="1947"/>
      <c r="H566" s="1948"/>
      <c r="I566" s="1949"/>
      <c r="J566" s="1329">
        <f t="shared" si="165"/>
        <v>0</v>
      </c>
      <c r="K566" s="1329">
        <f t="shared" si="166"/>
        <v>0</v>
      </c>
      <c r="L566" s="1329"/>
      <c r="M566" s="1335">
        <f t="shared" si="167"/>
        <v>0</v>
      </c>
      <c r="N566" s="1335">
        <f t="shared" si="137"/>
        <v>0</v>
      </c>
      <c r="O566" s="1335"/>
      <c r="P566" s="1315"/>
      <c r="Q566" s="1315"/>
      <c r="R566" s="1315"/>
      <c r="S566" s="1315"/>
      <c r="T566" s="1315"/>
      <c r="U566" s="1315"/>
    </row>
    <row r="567" spans="2:21">
      <c r="B567" s="1946"/>
      <c r="C567" s="1946"/>
      <c r="D567" s="1946"/>
      <c r="E567" s="1946"/>
      <c r="F567" s="1946"/>
      <c r="G567" s="1947"/>
      <c r="H567" s="1948"/>
      <c r="I567" s="1949"/>
      <c r="J567" s="1329">
        <f>IF(G567&gt;=0,0,"C60&gt;=0")</f>
        <v>0</v>
      </c>
      <c r="K567" s="1329">
        <f>IF(H567&gt;=0,0,"C70&gt;=0")</f>
        <v>0</v>
      </c>
      <c r="L567" s="1329"/>
      <c r="M567" s="1335">
        <f>IF(G567&lt;=1,0,"c60&lt;=1")</f>
        <v>0</v>
      </c>
      <c r="N567" s="1335">
        <f>IF(($G567*100)&gt;100,"C60 Invalid value greater than 100",IF(($G567*100)&lt;&gt;ROUND(($G567*100),2),($G567*100)&amp;": C60 Invalid no. of decimals",0))</f>
        <v>0</v>
      </c>
      <c r="O567" s="1335"/>
      <c r="P567" s="1315"/>
      <c r="Q567" s="1315"/>
      <c r="R567" s="1315"/>
      <c r="S567" s="1315"/>
      <c r="T567" s="1315"/>
      <c r="U567" s="1315"/>
    </row>
    <row r="568" spans="2:21">
      <c r="B568" s="1946"/>
      <c r="C568" s="1946"/>
      <c r="D568" s="1946"/>
      <c r="E568" s="1946"/>
      <c r="F568" s="1946"/>
      <c r="G568" s="1947"/>
      <c r="H568" s="1948"/>
      <c r="I568" s="1949"/>
      <c r="J568" s="1329">
        <f t="shared" ref="J568:J571" si="168">IF(G568&gt;=0,0,"C60&gt;=0")</f>
        <v>0</v>
      </c>
      <c r="K568" s="1329">
        <f t="shared" ref="K568:K571" si="169">IF(H568&gt;=0,0,"C70&gt;=0")</f>
        <v>0</v>
      </c>
      <c r="L568" s="1329"/>
      <c r="M568" s="1335">
        <f t="shared" ref="M568:M571" si="170">IF(G568&lt;=1,0,"c60&lt;=1")</f>
        <v>0</v>
      </c>
      <c r="N568" s="1335">
        <f t="shared" si="137"/>
        <v>0</v>
      </c>
      <c r="O568" s="1335"/>
      <c r="P568" s="1315"/>
      <c r="Q568" s="1315"/>
      <c r="R568" s="1315"/>
      <c r="S568" s="1315"/>
      <c r="T568" s="1315"/>
      <c r="U568" s="1315"/>
    </row>
    <row r="569" spans="2:21">
      <c r="B569" s="1946"/>
      <c r="C569" s="1946"/>
      <c r="D569" s="1946"/>
      <c r="E569" s="1946"/>
      <c r="F569" s="1946"/>
      <c r="G569" s="1947"/>
      <c r="H569" s="1948"/>
      <c r="I569" s="1949"/>
      <c r="J569" s="1329">
        <f t="shared" si="168"/>
        <v>0</v>
      </c>
      <c r="K569" s="1329">
        <f t="shared" si="169"/>
        <v>0</v>
      </c>
      <c r="L569" s="1329"/>
      <c r="M569" s="1335">
        <f t="shared" si="170"/>
        <v>0</v>
      </c>
      <c r="N569" s="1335">
        <f t="shared" si="137"/>
        <v>0</v>
      </c>
      <c r="O569" s="1335"/>
      <c r="P569" s="1315"/>
      <c r="Q569" s="1315"/>
      <c r="R569" s="1315"/>
      <c r="S569" s="1315"/>
      <c r="T569" s="1315"/>
      <c r="U569" s="1315"/>
    </row>
    <row r="570" spans="2:21">
      <c r="B570" s="1946"/>
      <c r="C570" s="1946"/>
      <c r="D570" s="1946"/>
      <c r="E570" s="1946"/>
      <c r="F570" s="1946"/>
      <c r="G570" s="1947"/>
      <c r="H570" s="1948"/>
      <c r="I570" s="1949"/>
      <c r="J570" s="1329">
        <f t="shared" si="168"/>
        <v>0</v>
      </c>
      <c r="K570" s="1329">
        <f t="shared" si="169"/>
        <v>0</v>
      </c>
      <c r="L570" s="1329"/>
      <c r="M570" s="1335">
        <f t="shared" si="170"/>
        <v>0</v>
      </c>
      <c r="N570" s="1335">
        <f t="shared" si="137"/>
        <v>0</v>
      </c>
      <c r="O570" s="1335"/>
      <c r="P570" s="1315"/>
      <c r="Q570" s="1315"/>
      <c r="R570" s="1315"/>
      <c r="S570" s="1315"/>
      <c r="T570" s="1315"/>
      <c r="U570" s="1315"/>
    </row>
    <row r="571" spans="2:21">
      <c r="B571" s="1946"/>
      <c r="C571" s="1946"/>
      <c r="D571" s="1946"/>
      <c r="E571" s="1946"/>
      <c r="F571" s="1946"/>
      <c r="G571" s="1947"/>
      <c r="H571" s="1948"/>
      <c r="I571" s="1949"/>
      <c r="J571" s="1329">
        <f t="shared" si="168"/>
        <v>0</v>
      </c>
      <c r="K571" s="1329">
        <f t="shared" si="169"/>
        <v>0</v>
      </c>
      <c r="L571" s="1329"/>
      <c r="M571" s="1335">
        <f t="shared" si="170"/>
        <v>0</v>
      </c>
      <c r="N571" s="1335">
        <f t="shared" si="137"/>
        <v>0</v>
      </c>
      <c r="O571" s="1335"/>
      <c r="P571" s="1315"/>
      <c r="Q571" s="1315"/>
      <c r="R571" s="1315"/>
      <c r="S571" s="1315"/>
      <c r="T571" s="1315"/>
      <c r="U571" s="1315"/>
    </row>
    <row r="572" spans="2:21">
      <c r="B572" s="1946"/>
      <c r="C572" s="1946"/>
      <c r="D572" s="1946"/>
      <c r="E572" s="1946"/>
      <c r="F572" s="1946"/>
      <c r="G572" s="1947"/>
      <c r="H572" s="1948"/>
      <c r="I572" s="1949"/>
      <c r="J572" s="1329">
        <f>IF(G572&gt;=0,0,"C60&gt;=0")</f>
        <v>0</v>
      </c>
      <c r="K572" s="1329">
        <f>IF(H572&gt;=0,0,"C70&gt;=0")</f>
        <v>0</v>
      </c>
      <c r="L572" s="1329"/>
      <c r="M572" s="1335">
        <f>IF(G572&lt;=1,0,"c60&lt;=1")</f>
        <v>0</v>
      </c>
      <c r="N572" s="1335">
        <f>IF(($G572*100)&gt;100,"C60 Invalid value greater than 100",IF(($G572*100)&lt;&gt;ROUND(($G572*100),2),($G572*100)&amp;": C60 Invalid no. of decimals",0))</f>
        <v>0</v>
      </c>
      <c r="O572" s="1335"/>
      <c r="P572" s="1315"/>
      <c r="Q572" s="1315"/>
      <c r="R572" s="1315"/>
      <c r="S572" s="1315"/>
      <c r="T572" s="1315"/>
      <c r="U572" s="1315"/>
    </row>
    <row r="573" spans="2:21">
      <c r="B573" s="1946"/>
      <c r="C573" s="1946"/>
      <c r="D573" s="1946"/>
      <c r="E573" s="1946"/>
      <c r="F573" s="1946"/>
      <c r="G573" s="1947"/>
      <c r="H573" s="1948"/>
      <c r="I573" s="1949"/>
      <c r="J573" s="1329">
        <f t="shared" ref="J573:J576" si="171">IF(G573&gt;=0,0,"C60&gt;=0")</f>
        <v>0</v>
      </c>
      <c r="K573" s="1329">
        <f t="shared" ref="K573:K576" si="172">IF(H573&gt;=0,0,"C70&gt;=0")</f>
        <v>0</v>
      </c>
      <c r="L573" s="1329"/>
      <c r="M573" s="1335">
        <f t="shared" ref="M573:M576" si="173">IF(G573&lt;=1,0,"c60&lt;=1")</f>
        <v>0</v>
      </c>
      <c r="N573" s="1335">
        <f t="shared" si="137"/>
        <v>0</v>
      </c>
      <c r="O573" s="1335"/>
      <c r="P573" s="1315"/>
      <c r="Q573" s="1315"/>
      <c r="R573" s="1315"/>
      <c r="S573" s="1315"/>
      <c r="T573" s="1315"/>
      <c r="U573" s="1315"/>
    </row>
    <row r="574" spans="2:21">
      <c r="B574" s="1946"/>
      <c r="C574" s="1946"/>
      <c r="D574" s="1946"/>
      <c r="E574" s="1946"/>
      <c r="F574" s="1946"/>
      <c r="G574" s="1947"/>
      <c r="H574" s="1948"/>
      <c r="I574" s="1949"/>
      <c r="J574" s="1329">
        <f t="shared" si="171"/>
        <v>0</v>
      </c>
      <c r="K574" s="1329">
        <f t="shared" si="172"/>
        <v>0</v>
      </c>
      <c r="L574" s="1329"/>
      <c r="M574" s="1335">
        <f t="shared" si="173"/>
        <v>0</v>
      </c>
      <c r="N574" s="1335">
        <f t="shared" si="137"/>
        <v>0</v>
      </c>
      <c r="O574" s="1335"/>
      <c r="P574" s="1315"/>
      <c r="Q574" s="1315"/>
      <c r="R574" s="1315"/>
      <c r="S574" s="1315"/>
      <c r="T574" s="1315"/>
      <c r="U574" s="1315"/>
    </row>
    <row r="575" spans="2:21">
      <c r="B575" s="1946"/>
      <c r="C575" s="1946"/>
      <c r="D575" s="1946"/>
      <c r="E575" s="1946"/>
      <c r="F575" s="1946"/>
      <c r="G575" s="1947"/>
      <c r="H575" s="1948"/>
      <c r="I575" s="1949"/>
      <c r="J575" s="1329">
        <f t="shared" si="171"/>
        <v>0</v>
      </c>
      <c r="K575" s="1329">
        <f t="shared" si="172"/>
        <v>0</v>
      </c>
      <c r="L575" s="1329"/>
      <c r="M575" s="1335">
        <f t="shared" si="173"/>
        <v>0</v>
      </c>
      <c r="N575" s="1335">
        <f t="shared" si="137"/>
        <v>0</v>
      </c>
      <c r="O575" s="1335"/>
      <c r="P575" s="1315"/>
      <c r="Q575" s="1315"/>
      <c r="R575" s="1315"/>
      <c r="S575" s="1315"/>
      <c r="T575" s="1315"/>
      <c r="U575" s="1315"/>
    </row>
    <row r="576" spans="2:21">
      <c r="B576" s="1946"/>
      <c r="C576" s="1946"/>
      <c r="D576" s="1946"/>
      <c r="E576" s="1946"/>
      <c r="F576" s="1946"/>
      <c r="G576" s="1947"/>
      <c r="H576" s="1948"/>
      <c r="I576" s="1949"/>
      <c r="J576" s="1329">
        <f t="shared" si="171"/>
        <v>0</v>
      </c>
      <c r="K576" s="1329">
        <f t="shared" si="172"/>
        <v>0</v>
      </c>
      <c r="L576" s="1329"/>
      <c r="M576" s="1335">
        <f t="shared" si="173"/>
        <v>0</v>
      </c>
      <c r="N576" s="1335">
        <f t="shared" si="137"/>
        <v>0</v>
      </c>
      <c r="O576" s="1335"/>
      <c r="P576" s="1315"/>
      <c r="Q576" s="1315"/>
      <c r="R576" s="1315"/>
      <c r="S576" s="1315"/>
      <c r="T576" s="1315"/>
      <c r="U576" s="1315"/>
    </row>
    <row r="577" spans="2:21">
      <c r="B577" s="1946"/>
      <c r="C577" s="1946"/>
      <c r="D577" s="1946"/>
      <c r="E577" s="1946"/>
      <c r="F577" s="1946"/>
      <c r="G577" s="1947"/>
      <c r="H577" s="1948"/>
      <c r="I577" s="1949"/>
      <c r="J577" s="1329">
        <f>IF(G577&gt;=0,0,"C60&gt;=0")</f>
        <v>0</v>
      </c>
      <c r="K577" s="1329">
        <f>IF(H577&gt;=0,0,"C70&gt;=0")</f>
        <v>0</v>
      </c>
      <c r="L577" s="1329"/>
      <c r="M577" s="1335">
        <f>IF(G577&lt;=1,0,"c60&lt;=1")</f>
        <v>0</v>
      </c>
      <c r="N577" s="1335">
        <f>IF(($G577*100)&gt;100,"C60 Invalid value greater than 100",IF(($G577*100)&lt;&gt;ROUND(($G577*100),2),($G577*100)&amp;": C60 Invalid no. of decimals",0))</f>
        <v>0</v>
      </c>
      <c r="O577" s="1335"/>
      <c r="P577" s="1315"/>
      <c r="Q577" s="1315"/>
      <c r="R577" s="1315"/>
      <c r="S577" s="1315"/>
      <c r="T577" s="1315"/>
      <c r="U577" s="1315"/>
    </row>
    <row r="578" spans="2:21">
      <c r="B578" s="1946"/>
      <c r="C578" s="1946"/>
      <c r="D578" s="1946"/>
      <c r="E578" s="1946"/>
      <c r="F578" s="1946"/>
      <c r="G578" s="1947"/>
      <c r="H578" s="1948"/>
      <c r="I578" s="1949"/>
      <c r="J578" s="1329">
        <f t="shared" ref="J578:J581" si="174">IF(G578&gt;=0,0,"C60&gt;=0")</f>
        <v>0</v>
      </c>
      <c r="K578" s="1329">
        <f t="shared" ref="K578:K581" si="175">IF(H578&gt;=0,0,"C70&gt;=0")</f>
        <v>0</v>
      </c>
      <c r="L578" s="1329"/>
      <c r="M578" s="1335">
        <f t="shared" ref="M578:M581" si="176">IF(G578&lt;=1,0,"c60&lt;=1")</f>
        <v>0</v>
      </c>
      <c r="N578" s="1335">
        <f t="shared" ref="N578:N591" si="177">IF(($G578*100)&gt;100,"C60 Invalid value greater than 100",IF(($G578*100)&lt;&gt;ROUND(($G578*100),2),($G578*100)&amp;": C60 Invalid no. of decimals",0))</f>
        <v>0</v>
      </c>
      <c r="O578" s="1335"/>
      <c r="P578" s="1315"/>
      <c r="Q578" s="1315"/>
      <c r="R578" s="1315"/>
      <c r="S578" s="1315"/>
      <c r="T578" s="1315"/>
      <c r="U578" s="1315"/>
    </row>
    <row r="579" spans="2:21">
      <c r="B579" s="1946"/>
      <c r="C579" s="1946"/>
      <c r="D579" s="1946"/>
      <c r="E579" s="1946"/>
      <c r="F579" s="1946"/>
      <c r="G579" s="1947"/>
      <c r="H579" s="1948"/>
      <c r="I579" s="1949"/>
      <c r="J579" s="1329">
        <f t="shared" si="174"/>
        <v>0</v>
      </c>
      <c r="K579" s="1329">
        <f t="shared" si="175"/>
        <v>0</v>
      </c>
      <c r="L579" s="1329"/>
      <c r="M579" s="1335">
        <f t="shared" si="176"/>
        <v>0</v>
      </c>
      <c r="N579" s="1335">
        <f t="shared" si="177"/>
        <v>0</v>
      </c>
      <c r="O579" s="1335"/>
      <c r="P579" s="1315"/>
      <c r="Q579" s="1315"/>
      <c r="R579" s="1315"/>
      <c r="S579" s="1315"/>
      <c r="T579" s="1315"/>
      <c r="U579" s="1315"/>
    </row>
    <row r="580" spans="2:21">
      <c r="B580" s="1946"/>
      <c r="C580" s="1946"/>
      <c r="D580" s="1946"/>
      <c r="E580" s="1946"/>
      <c r="F580" s="1946"/>
      <c r="G580" s="1947"/>
      <c r="H580" s="1948"/>
      <c r="I580" s="1949"/>
      <c r="J580" s="1329">
        <f t="shared" si="174"/>
        <v>0</v>
      </c>
      <c r="K580" s="1329">
        <f t="shared" si="175"/>
        <v>0</v>
      </c>
      <c r="L580" s="1329"/>
      <c r="M580" s="1335">
        <f t="shared" si="176"/>
        <v>0</v>
      </c>
      <c r="N580" s="1335">
        <f t="shared" si="177"/>
        <v>0</v>
      </c>
      <c r="O580" s="1335"/>
      <c r="P580" s="1315"/>
      <c r="Q580" s="1315"/>
      <c r="R580" s="1315"/>
      <c r="S580" s="1315"/>
      <c r="T580" s="1315"/>
      <c r="U580" s="1315"/>
    </row>
    <row r="581" spans="2:21">
      <c r="B581" s="1946"/>
      <c r="C581" s="1946"/>
      <c r="D581" s="1946"/>
      <c r="E581" s="1946"/>
      <c r="F581" s="1946"/>
      <c r="G581" s="1947"/>
      <c r="H581" s="1948"/>
      <c r="I581" s="1949"/>
      <c r="J581" s="1329">
        <f t="shared" si="174"/>
        <v>0</v>
      </c>
      <c r="K581" s="1329">
        <f t="shared" si="175"/>
        <v>0</v>
      </c>
      <c r="L581" s="1329"/>
      <c r="M581" s="1335">
        <f t="shared" si="176"/>
        <v>0</v>
      </c>
      <c r="N581" s="1335">
        <f t="shared" si="177"/>
        <v>0</v>
      </c>
      <c r="O581" s="1335"/>
      <c r="P581" s="1315"/>
      <c r="Q581" s="1315"/>
      <c r="R581" s="1315"/>
      <c r="S581" s="1315"/>
      <c r="T581" s="1315"/>
      <c r="U581" s="1315"/>
    </row>
    <row r="582" spans="2:21">
      <c r="B582" s="1946"/>
      <c r="C582" s="1946"/>
      <c r="D582" s="1946"/>
      <c r="E582" s="1946"/>
      <c r="F582" s="1946"/>
      <c r="G582" s="1947"/>
      <c r="H582" s="1948"/>
      <c r="I582" s="1949"/>
      <c r="J582" s="1329">
        <f>IF(G582&gt;=0,0,"C60&gt;=0")</f>
        <v>0</v>
      </c>
      <c r="K582" s="1329">
        <f>IF(H582&gt;=0,0,"C70&gt;=0")</f>
        <v>0</v>
      </c>
      <c r="L582" s="1329"/>
      <c r="M582" s="1335">
        <f>IF(G582&lt;=1,0,"c60&lt;=1")</f>
        <v>0</v>
      </c>
      <c r="N582" s="1335">
        <f>IF(($G582*100)&gt;100,"C60 Invalid value greater than 100",IF(($G582*100)&lt;&gt;ROUND(($G582*100),2),($G582*100)&amp;": C60 Invalid no. of decimals",0))</f>
        <v>0</v>
      </c>
      <c r="O582" s="1335"/>
      <c r="P582" s="1315"/>
      <c r="Q582" s="1315"/>
      <c r="R582" s="1315"/>
      <c r="S582" s="1315"/>
      <c r="T582" s="1315"/>
      <c r="U582" s="1315"/>
    </row>
    <row r="583" spans="2:21">
      <c r="B583" s="1946"/>
      <c r="C583" s="1946"/>
      <c r="D583" s="1946"/>
      <c r="E583" s="1946"/>
      <c r="F583" s="1946"/>
      <c r="G583" s="1947"/>
      <c r="H583" s="1948"/>
      <c r="I583" s="1949"/>
      <c r="J583" s="1329">
        <f t="shared" ref="J583:J586" si="178">IF(G583&gt;=0,0,"C60&gt;=0")</f>
        <v>0</v>
      </c>
      <c r="K583" s="1329">
        <f t="shared" ref="K583:K586" si="179">IF(H583&gt;=0,0,"C70&gt;=0")</f>
        <v>0</v>
      </c>
      <c r="L583" s="1329"/>
      <c r="M583" s="1335">
        <f t="shared" ref="M583:M586" si="180">IF(G583&lt;=1,0,"c60&lt;=1")</f>
        <v>0</v>
      </c>
      <c r="N583" s="1335">
        <f t="shared" si="177"/>
        <v>0</v>
      </c>
      <c r="O583" s="1335"/>
      <c r="P583" s="1315"/>
      <c r="Q583" s="1315"/>
      <c r="R583" s="1315"/>
      <c r="S583" s="1315"/>
      <c r="T583" s="1315"/>
      <c r="U583" s="1315"/>
    </row>
    <row r="584" spans="2:21">
      <c r="B584" s="1946"/>
      <c r="C584" s="1946"/>
      <c r="D584" s="1946"/>
      <c r="E584" s="1946"/>
      <c r="F584" s="1946"/>
      <c r="G584" s="1947"/>
      <c r="H584" s="1948"/>
      <c r="I584" s="1949"/>
      <c r="J584" s="1329">
        <f t="shared" si="178"/>
        <v>0</v>
      </c>
      <c r="K584" s="1329">
        <f t="shared" si="179"/>
        <v>0</v>
      </c>
      <c r="L584" s="1329"/>
      <c r="M584" s="1335">
        <f t="shared" si="180"/>
        <v>0</v>
      </c>
      <c r="N584" s="1335">
        <f t="shared" si="177"/>
        <v>0</v>
      </c>
      <c r="O584" s="1335"/>
      <c r="P584" s="1315"/>
      <c r="Q584" s="1315"/>
      <c r="R584" s="1315"/>
      <c r="S584" s="1315"/>
      <c r="T584" s="1315"/>
      <c r="U584" s="1315"/>
    </row>
    <row r="585" spans="2:21">
      <c r="B585" s="1946"/>
      <c r="C585" s="1946"/>
      <c r="D585" s="1946"/>
      <c r="E585" s="1946"/>
      <c r="F585" s="1946"/>
      <c r="G585" s="1947"/>
      <c r="H585" s="1948"/>
      <c r="I585" s="1949"/>
      <c r="J585" s="1329">
        <f t="shared" si="178"/>
        <v>0</v>
      </c>
      <c r="K585" s="1329">
        <f t="shared" si="179"/>
        <v>0</v>
      </c>
      <c r="L585" s="1329"/>
      <c r="M585" s="1335">
        <f t="shared" si="180"/>
        <v>0</v>
      </c>
      <c r="N585" s="1335">
        <f t="shared" si="177"/>
        <v>0</v>
      </c>
      <c r="O585" s="1335"/>
      <c r="P585" s="1315"/>
      <c r="Q585" s="1315"/>
      <c r="R585" s="1315"/>
      <c r="S585" s="1315"/>
      <c r="T585" s="1315"/>
      <c r="U585" s="1315"/>
    </row>
    <row r="586" spans="2:21">
      <c r="B586" s="1946"/>
      <c r="C586" s="1946"/>
      <c r="D586" s="1946"/>
      <c r="E586" s="1946"/>
      <c r="F586" s="1946"/>
      <c r="G586" s="1947"/>
      <c r="H586" s="1948"/>
      <c r="I586" s="1949"/>
      <c r="J586" s="1329">
        <f t="shared" si="178"/>
        <v>0</v>
      </c>
      <c r="K586" s="1329">
        <f t="shared" si="179"/>
        <v>0</v>
      </c>
      <c r="L586" s="1329"/>
      <c r="M586" s="1335">
        <f t="shared" si="180"/>
        <v>0</v>
      </c>
      <c r="N586" s="1335">
        <f t="shared" si="177"/>
        <v>0</v>
      </c>
      <c r="O586" s="1335"/>
      <c r="P586" s="1315"/>
      <c r="Q586" s="1315"/>
      <c r="R586" s="1315"/>
      <c r="S586" s="1315"/>
      <c r="T586" s="1315"/>
      <c r="U586" s="1315"/>
    </row>
    <row r="587" spans="2:21">
      <c r="B587" s="1946"/>
      <c r="C587" s="1946"/>
      <c r="D587" s="1946"/>
      <c r="E587" s="1946"/>
      <c r="F587" s="1946"/>
      <c r="G587" s="1947"/>
      <c r="H587" s="1948"/>
      <c r="I587" s="1949"/>
      <c r="J587" s="1329">
        <f>IF(G587&gt;=0,0,"C60&gt;=0")</f>
        <v>0</v>
      </c>
      <c r="K587" s="1329">
        <f>IF(H587&gt;=0,0,"C70&gt;=0")</f>
        <v>0</v>
      </c>
      <c r="L587" s="1329"/>
      <c r="M587" s="1335">
        <f>IF(G587&lt;=1,0,"c60&lt;=1")</f>
        <v>0</v>
      </c>
      <c r="N587" s="1335">
        <f>IF(($G587*100)&gt;100,"C60 Invalid value greater than 100",IF(($G587*100)&lt;&gt;ROUND(($G587*100),2),($G587*100)&amp;": C60 Invalid no. of decimals",0))</f>
        <v>0</v>
      </c>
      <c r="O587" s="1335"/>
      <c r="P587" s="1315"/>
      <c r="Q587" s="1315"/>
      <c r="R587" s="1315"/>
      <c r="S587" s="1315"/>
      <c r="T587" s="1315"/>
      <c r="U587" s="1315"/>
    </row>
    <row r="588" spans="2:21">
      <c r="B588" s="1946"/>
      <c r="C588" s="1946"/>
      <c r="D588" s="1946"/>
      <c r="E588" s="1946"/>
      <c r="F588" s="1946"/>
      <c r="G588" s="1947"/>
      <c r="H588" s="1948"/>
      <c r="I588" s="1949"/>
      <c r="J588" s="1329">
        <f t="shared" ref="J588:J591" si="181">IF(G588&gt;=0,0,"C60&gt;=0")</f>
        <v>0</v>
      </c>
      <c r="K588" s="1329">
        <f t="shared" ref="K588:K591" si="182">IF(H588&gt;=0,0,"C70&gt;=0")</f>
        <v>0</v>
      </c>
      <c r="L588" s="1329"/>
      <c r="M588" s="1335">
        <f t="shared" ref="M588:M591" si="183">IF(G588&lt;=1,0,"c60&lt;=1")</f>
        <v>0</v>
      </c>
      <c r="N588" s="1335">
        <f t="shared" si="177"/>
        <v>0</v>
      </c>
      <c r="O588" s="1335"/>
      <c r="P588" s="1315"/>
      <c r="Q588" s="1315"/>
      <c r="R588" s="1315"/>
      <c r="S588" s="1315"/>
      <c r="T588" s="1315"/>
      <c r="U588" s="1315"/>
    </row>
    <row r="589" spans="2:21">
      <c r="B589" s="1946"/>
      <c r="C589" s="1946"/>
      <c r="D589" s="1946"/>
      <c r="E589" s="1946"/>
      <c r="F589" s="1946"/>
      <c r="G589" s="1947"/>
      <c r="H589" s="1948"/>
      <c r="I589" s="1949"/>
      <c r="J589" s="1329">
        <f t="shared" si="181"/>
        <v>0</v>
      </c>
      <c r="K589" s="1329">
        <f t="shared" si="182"/>
        <v>0</v>
      </c>
      <c r="L589" s="1329"/>
      <c r="M589" s="1335">
        <f t="shared" si="183"/>
        <v>0</v>
      </c>
      <c r="N589" s="1335">
        <f t="shared" si="177"/>
        <v>0</v>
      </c>
      <c r="O589" s="1335"/>
      <c r="P589" s="1315"/>
      <c r="Q589" s="1315"/>
      <c r="R589" s="1315"/>
      <c r="S589" s="1315"/>
      <c r="T589" s="1315"/>
      <c r="U589" s="1315"/>
    </row>
    <row r="590" spans="2:21">
      <c r="B590" s="1946"/>
      <c r="C590" s="1946"/>
      <c r="D590" s="1946"/>
      <c r="E590" s="1946"/>
      <c r="F590" s="1946"/>
      <c r="G590" s="1947"/>
      <c r="H590" s="1948"/>
      <c r="I590" s="1949"/>
      <c r="J590" s="1329">
        <f t="shared" si="181"/>
        <v>0</v>
      </c>
      <c r="K590" s="1329">
        <f t="shared" si="182"/>
        <v>0</v>
      </c>
      <c r="L590" s="1329"/>
      <c r="M590" s="1335">
        <f t="shared" si="183"/>
        <v>0</v>
      </c>
      <c r="N590" s="1335">
        <f t="shared" si="177"/>
        <v>0</v>
      </c>
      <c r="O590" s="1335"/>
      <c r="P590" s="1315"/>
      <c r="Q590" s="1315"/>
      <c r="R590" s="1315"/>
      <c r="S590" s="1315"/>
      <c r="T590" s="1315"/>
      <c r="U590" s="1315"/>
    </row>
    <row r="591" spans="2:21">
      <c r="B591" s="1946"/>
      <c r="C591" s="1946"/>
      <c r="D591" s="1946"/>
      <c r="E591" s="1946"/>
      <c r="F591" s="1946"/>
      <c r="G591" s="1947"/>
      <c r="H591" s="1948"/>
      <c r="I591" s="1949"/>
      <c r="J591" s="1329">
        <f t="shared" si="181"/>
        <v>0</v>
      </c>
      <c r="K591" s="1329">
        <f t="shared" si="182"/>
        <v>0</v>
      </c>
      <c r="L591" s="1329"/>
      <c r="M591" s="1335">
        <f t="shared" si="183"/>
        <v>0</v>
      </c>
      <c r="N591" s="1335">
        <f t="shared" si="177"/>
        <v>0</v>
      </c>
      <c r="O591" s="1335"/>
      <c r="P591" s="1315"/>
      <c r="Q591" s="1315"/>
      <c r="R591" s="1315"/>
      <c r="S591" s="1315"/>
      <c r="T591" s="1315"/>
      <c r="U591" s="1315"/>
    </row>
    <row r="592" spans="2:21">
      <c r="B592" s="1946"/>
      <c r="C592" s="1946"/>
      <c r="D592" s="1946"/>
      <c r="E592" s="1946"/>
      <c r="F592" s="1946"/>
      <c r="G592" s="1947"/>
      <c r="H592" s="1948"/>
      <c r="I592" s="1949"/>
      <c r="J592" s="1329">
        <f>IF(G592&gt;=0,0,"C60&gt;=0")</f>
        <v>0</v>
      </c>
      <c r="K592" s="1329">
        <f>IF(H592&gt;=0,0,"C70&gt;=0")</f>
        <v>0</v>
      </c>
      <c r="L592" s="1329"/>
      <c r="M592" s="1335">
        <f>IF(G592&lt;=1,0,"c60&lt;=1")</f>
        <v>0</v>
      </c>
      <c r="N592" s="1335">
        <f>IF(($G592*100)&gt;100,"C60 Invalid value greater than 100",IF(($G592*100)&lt;&gt;ROUND(($G592*100),2),($G592*100)&amp;": C60 Invalid no. of decimals",0))</f>
        <v>0</v>
      </c>
      <c r="O592" s="1335"/>
      <c r="P592" s="1315"/>
      <c r="Q592" s="1315"/>
      <c r="R592" s="1315"/>
      <c r="S592" s="1315"/>
      <c r="T592" s="1315"/>
      <c r="U592" s="1315"/>
    </row>
    <row r="593" spans="2:21">
      <c r="B593" s="1946"/>
      <c r="C593" s="1946"/>
      <c r="D593" s="1946"/>
      <c r="E593" s="1946"/>
      <c r="F593" s="1946"/>
      <c r="G593" s="1947"/>
      <c r="H593" s="1948"/>
      <c r="I593" s="1949"/>
      <c r="J593" s="1329">
        <f t="shared" ref="J593:J596" si="184">IF(G593&gt;=0,0,"C60&gt;=0")</f>
        <v>0</v>
      </c>
      <c r="K593" s="1329">
        <f t="shared" ref="K593:K596" si="185">IF(H593&gt;=0,0,"C70&gt;=0")</f>
        <v>0</v>
      </c>
      <c r="L593" s="1329"/>
      <c r="M593" s="1335">
        <f t="shared" ref="M593:M596" si="186">IF(G593&lt;=1,0,"c60&lt;=1")</f>
        <v>0</v>
      </c>
      <c r="N593" s="1335">
        <f t="shared" ref="N593:N656" si="187">IF(($G593*100)&gt;100,"C60 Invalid value greater than 100",IF(($G593*100)&lt;&gt;ROUND(($G593*100),2),($G593*100)&amp;": C60 Invalid no. of decimals",0))</f>
        <v>0</v>
      </c>
      <c r="O593" s="1335"/>
      <c r="P593" s="1315"/>
      <c r="Q593" s="1315"/>
      <c r="R593" s="1315"/>
      <c r="S593" s="1315"/>
      <c r="T593" s="1315"/>
      <c r="U593" s="1315"/>
    </row>
    <row r="594" spans="2:21">
      <c r="B594" s="1946"/>
      <c r="C594" s="1946"/>
      <c r="D594" s="1946"/>
      <c r="E594" s="1946"/>
      <c r="F594" s="1946"/>
      <c r="G594" s="1947"/>
      <c r="H594" s="1948"/>
      <c r="I594" s="1949"/>
      <c r="J594" s="1329">
        <f t="shared" si="184"/>
        <v>0</v>
      </c>
      <c r="K594" s="1329">
        <f t="shared" si="185"/>
        <v>0</v>
      </c>
      <c r="L594" s="1329"/>
      <c r="M594" s="1335">
        <f t="shared" si="186"/>
        <v>0</v>
      </c>
      <c r="N594" s="1335">
        <f t="shared" si="187"/>
        <v>0</v>
      </c>
      <c r="O594" s="1335"/>
      <c r="P594" s="1315"/>
      <c r="Q594" s="1315"/>
      <c r="R594" s="1315"/>
      <c r="S594" s="1315"/>
      <c r="T594" s="1315"/>
      <c r="U594" s="1315"/>
    </row>
    <row r="595" spans="2:21">
      <c r="B595" s="1946"/>
      <c r="C595" s="1946"/>
      <c r="D595" s="1946"/>
      <c r="E595" s="1946"/>
      <c r="F595" s="1946"/>
      <c r="G595" s="1947"/>
      <c r="H595" s="1948"/>
      <c r="I595" s="1949"/>
      <c r="J595" s="1329">
        <f t="shared" si="184"/>
        <v>0</v>
      </c>
      <c r="K595" s="1329">
        <f t="shared" si="185"/>
        <v>0</v>
      </c>
      <c r="L595" s="1329"/>
      <c r="M595" s="1335">
        <f t="shared" si="186"/>
        <v>0</v>
      </c>
      <c r="N595" s="1335">
        <f t="shared" si="187"/>
        <v>0</v>
      </c>
      <c r="O595" s="1335"/>
      <c r="P595" s="1315"/>
      <c r="Q595" s="1315"/>
      <c r="R595" s="1315"/>
      <c r="S595" s="1315"/>
      <c r="T595" s="1315"/>
      <c r="U595" s="1315"/>
    </row>
    <row r="596" spans="2:21">
      <c r="B596" s="1946"/>
      <c r="C596" s="1946"/>
      <c r="D596" s="1946"/>
      <c r="E596" s="1946"/>
      <c r="F596" s="1946"/>
      <c r="G596" s="1947"/>
      <c r="H596" s="1948"/>
      <c r="I596" s="1949"/>
      <c r="J596" s="1329">
        <f t="shared" si="184"/>
        <v>0</v>
      </c>
      <c r="K596" s="1329">
        <f t="shared" si="185"/>
        <v>0</v>
      </c>
      <c r="L596" s="1329"/>
      <c r="M596" s="1335">
        <f t="shared" si="186"/>
        <v>0</v>
      </c>
      <c r="N596" s="1335">
        <f t="shared" si="187"/>
        <v>0</v>
      </c>
      <c r="O596" s="1335"/>
      <c r="P596" s="1315"/>
      <c r="Q596" s="1315"/>
      <c r="R596" s="1315"/>
      <c r="S596" s="1315"/>
      <c r="T596" s="1315"/>
      <c r="U596" s="1315"/>
    </row>
    <row r="597" spans="2:21">
      <c r="B597" s="1946"/>
      <c r="C597" s="1946"/>
      <c r="D597" s="1946"/>
      <c r="E597" s="1946"/>
      <c r="F597" s="1946"/>
      <c r="G597" s="1947"/>
      <c r="H597" s="1948"/>
      <c r="I597" s="1949"/>
      <c r="J597" s="1329">
        <f>IF(G597&gt;=0,0,"C60&gt;=0")</f>
        <v>0</v>
      </c>
      <c r="K597" s="1329">
        <f>IF(H597&gt;=0,0,"C70&gt;=0")</f>
        <v>0</v>
      </c>
      <c r="L597" s="1329"/>
      <c r="M597" s="1335">
        <f>IF(G597&lt;=1,0,"c60&lt;=1")</f>
        <v>0</v>
      </c>
      <c r="N597" s="1335">
        <f>IF(($G597*100)&gt;100,"C60 Invalid value greater than 100",IF(($G597*100)&lt;&gt;ROUND(($G597*100),2),($G597*100)&amp;": C60 Invalid no. of decimals",0))</f>
        <v>0</v>
      </c>
      <c r="O597" s="1335"/>
      <c r="P597" s="1315"/>
      <c r="Q597" s="1315"/>
      <c r="R597" s="1315"/>
      <c r="S597" s="1315"/>
      <c r="T597" s="1315"/>
      <c r="U597" s="1315"/>
    </row>
    <row r="598" spans="2:21">
      <c r="B598" s="1946"/>
      <c r="C598" s="1946"/>
      <c r="D598" s="1946"/>
      <c r="E598" s="1946"/>
      <c r="F598" s="1946"/>
      <c r="G598" s="1947"/>
      <c r="H598" s="1948"/>
      <c r="I598" s="1949"/>
      <c r="J598" s="1329">
        <f t="shared" ref="J598:J601" si="188">IF(G598&gt;=0,0,"C60&gt;=0")</f>
        <v>0</v>
      </c>
      <c r="K598" s="1329">
        <f t="shared" ref="K598:K601" si="189">IF(H598&gt;=0,0,"C70&gt;=0")</f>
        <v>0</v>
      </c>
      <c r="L598" s="1329"/>
      <c r="M598" s="1335">
        <f t="shared" ref="M598:M601" si="190">IF(G598&lt;=1,0,"c60&lt;=1")</f>
        <v>0</v>
      </c>
      <c r="N598" s="1335">
        <f t="shared" si="187"/>
        <v>0</v>
      </c>
      <c r="O598" s="1335"/>
      <c r="P598" s="1315"/>
      <c r="Q598" s="1315"/>
      <c r="R598" s="1315"/>
      <c r="S598" s="1315"/>
      <c r="T598" s="1315"/>
      <c r="U598" s="1315"/>
    </row>
    <row r="599" spans="2:21">
      <c r="B599" s="1946"/>
      <c r="C599" s="1946"/>
      <c r="D599" s="1946"/>
      <c r="E599" s="1946"/>
      <c r="F599" s="1946"/>
      <c r="G599" s="1947"/>
      <c r="H599" s="1948"/>
      <c r="I599" s="1949"/>
      <c r="J599" s="1329">
        <f t="shared" si="188"/>
        <v>0</v>
      </c>
      <c r="K599" s="1329">
        <f t="shared" si="189"/>
        <v>0</v>
      </c>
      <c r="L599" s="1329"/>
      <c r="M599" s="1335">
        <f t="shared" si="190"/>
        <v>0</v>
      </c>
      <c r="N599" s="1335">
        <f t="shared" si="187"/>
        <v>0</v>
      </c>
      <c r="O599" s="1335"/>
      <c r="P599" s="1315"/>
      <c r="Q599" s="1315"/>
      <c r="R599" s="1315"/>
      <c r="S599" s="1315"/>
      <c r="T599" s="1315"/>
      <c r="U599" s="1315"/>
    </row>
    <row r="600" spans="2:21">
      <c r="B600" s="1946"/>
      <c r="C600" s="1946"/>
      <c r="D600" s="1946"/>
      <c r="E600" s="1946"/>
      <c r="F600" s="1946"/>
      <c r="G600" s="1947"/>
      <c r="H600" s="1948"/>
      <c r="I600" s="1949"/>
      <c r="J600" s="1329">
        <f t="shared" si="188"/>
        <v>0</v>
      </c>
      <c r="K600" s="1329">
        <f t="shared" si="189"/>
        <v>0</v>
      </c>
      <c r="L600" s="1329"/>
      <c r="M600" s="1335">
        <f t="shared" si="190"/>
        <v>0</v>
      </c>
      <c r="N600" s="1335">
        <f t="shared" si="187"/>
        <v>0</v>
      </c>
      <c r="O600" s="1335"/>
      <c r="P600" s="1315"/>
      <c r="Q600" s="1315"/>
      <c r="R600" s="1315"/>
      <c r="S600" s="1315"/>
      <c r="T600" s="1315"/>
      <c r="U600" s="1315"/>
    </row>
    <row r="601" spans="2:21">
      <c r="B601" s="1946"/>
      <c r="C601" s="1946"/>
      <c r="D601" s="1946"/>
      <c r="E601" s="1946"/>
      <c r="F601" s="1946"/>
      <c r="G601" s="1947"/>
      <c r="H601" s="1948"/>
      <c r="I601" s="1949"/>
      <c r="J601" s="1329">
        <f t="shared" si="188"/>
        <v>0</v>
      </c>
      <c r="K601" s="1329">
        <f t="shared" si="189"/>
        <v>0</v>
      </c>
      <c r="L601" s="1329"/>
      <c r="M601" s="1335">
        <f t="shared" si="190"/>
        <v>0</v>
      </c>
      <c r="N601" s="1335">
        <f t="shared" si="187"/>
        <v>0</v>
      </c>
      <c r="O601" s="1335"/>
      <c r="P601" s="1315"/>
      <c r="Q601" s="1315"/>
      <c r="R601" s="1315"/>
      <c r="S601" s="1315"/>
      <c r="T601" s="1315"/>
      <c r="U601" s="1315"/>
    </row>
    <row r="602" spans="2:21">
      <c r="B602" s="1946"/>
      <c r="C602" s="1946"/>
      <c r="D602" s="1946"/>
      <c r="E602" s="1946"/>
      <c r="F602" s="1946"/>
      <c r="G602" s="1947"/>
      <c r="H602" s="1948"/>
      <c r="I602" s="1949"/>
      <c r="J602" s="1329">
        <f>IF(G602&gt;=0,0,"C60&gt;=0")</f>
        <v>0</v>
      </c>
      <c r="K602" s="1329">
        <f>IF(H602&gt;=0,0,"C70&gt;=0")</f>
        <v>0</v>
      </c>
      <c r="L602" s="1329"/>
      <c r="M602" s="1335">
        <f>IF(G602&lt;=1,0,"c60&lt;=1")</f>
        <v>0</v>
      </c>
      <c r="N602" s="1335">
        <f>IF(($G602*100)&gt;100,"C60 Invalid value greater than 100",IF(($G602*100)&lt;&gt;ROUND(($G602*100),2),($G602*100)&amp;": C60 Invalid no. of decimals",0))</f>
        <v>0</v>
      </c>
      <c r="O602" s="1335"/>
      <c r="P602" s="1315"/>
      <c r="Q602" s="1315"/>
      <c r="R602" s="1315"/>
      <c r="S602" s="1315"/>
      <c r="T602" s="1315"/>
      <c r="U602" s="1315"/>
    </row>
    <row r="603" spans="2:21">
      <c r="B603" s="1946"/>
      <c r="C603" s="1946"/>
      <c r="D603" s="1946"/>
      <c r="E603" s="1946"/>
      <c r="F603" s="1946"/>
      <c r="G603" s="1947"/>
      <c r="H603" s="1948"/>
      <c r="I603" s="1949"/>
      <c r="J603" s="1329">
        <f t="shared" ref="J603:J606" si="191">IF(G603&gt;=0,0,"C60&gt;=0")</f>
        <v>0</v>
      </c>
      <c r="K603" s="1329">
        <f t="shared" ref="K603:K606" si="192">IF(H603&gt;=0,0,"C70&gt;=0")</f>
        <v>0</v>
      </c>
      <c r="L603" s="1329"/>
      <c r="M603" s="1335">
        <f t="shared" ref="M603:M606" si="193">IF(G603&lt;=1,0,"c60&lt;=1")</f>
        <v>0</v>
      </c>
      <c r="N603" s="1335">
        <f t="shared" si="187"/>
        <v>0</v>
      </c>
      <c r="O603" s="1335"/>
      <c r="P603" s="1315"/>
      <c r="Q603" s="1315"/>
      <c r="R603" s="1315"/>
      <c r="S603" s="1315"/>
      <c r="T603" s="1315"/>
      <c r="U603" s="1315"/>
    </row>
    <row r="604" spans="2:21">
      <c r="B604" s="1946"/>
      <c r="C604" s="1946"/>
      <c r="D604" s="1946"/>
      <c r="E604" s="1946"/>
      <c r="F604" s="1946"/>
      <c r="G604" s="1947"/>
      <c r="H604" s="1948"/>
      <c r="I604" s="1949"/>
      <c r="J604" s="1329">
        <f t="shared" si="191"/>
        <v>0</v>
      </c>
      <c r="K604" s="1329">
        <f t="shared" si="192"/>
        <v>0</v>
      </c>
      <c r="L604" s="1329"/>
      <c r="M604" s="1335">
        <f t="shared" si="193"/>
        <v>0</v>
      </c>
      <c r="N604" s="1335">
        <f t="shared" si="187"/>
        <v>0</v>
      </c>
      <c r="O604" s="1335"/>
      <c r="P604" s="1315"/>
      <c r="Q604" s="1315"/>
      <c r="R604" s="1315"/>
      <c r="S604" s="1315"/>
      <c r="T604" s="1315"/>
      <c r="U604" s="1315"/>
    </row>
    <row r="605" spans="2:21">
      <c r="B605" s="1946"/>
      <c r="C605" s="1946"/>
      <c r="D605" s="1946"/>
      <c r="E605" s="1946"/>
      <c r="F605" s="1946"/>
      <c r="G605" s="1947"/>
      <c r="H605" s="1948"/>
      <c r="I605" s="1949"/>
      <c r="J605" s="1329">
        <f t="shared" si="191"/>
        <v>0</v>
      </c>
      <c r="K605" s="1329">
        <f t="shared" si="192"/>
        <v>0</v>
      </c>
      <c r="L605" s="1329"/>
      <c r="M605" s="1335">
        <f t="shared" si="193"/>
        <v>0</v>
      </c>
      <c r="N605" s="1335">
        <f t="shared" si="187"/>
        <v>0</v>
      </c>
      <c r="O605" s="1335"/>
      <c r="P605" s="1315"/>
      <c r="Q605" s="1315"/>
      <c r="R605" s="1315"/>
      <c r="S605" s="1315"/>
      <c r="T605" s="1315"/>
      <c r="U605" s="1315"/>
    </row>
    <row r="606" spans="2:21">
      <c r="B606" s="1946"/>
      <c r="C606" s="1946"/>
      <c r="D606" s="1946"/>
      <c r="E606" s="1946"/>
      <c r="F606" s="1946"/>
      <c r="G606" s="1947"/>
      <c r="H606" s="1948"/>
      <c r="I606" s="1949"/>
      <c r="J606" s="1329">
        <f t="shared" si="191"/>
        <v>0</v>
      </c>
      <c r="K606" s="1329">
        <f t="shared" si="192"/>
        <v>0</v>
      </c>
      <c r="L606" s="1329"/>
      <c r="M606" s="1335">
        <f t="shared" si="193"/>
        <v>0</v>
      </c>
      <c r="N606" s="1335">
        <f t="shared" si="187"/>
        <v>0</v>
      </c>
      <c r="O606" s="1335"/>
      <c r="P606" s="1315"/>
      <c r="Q606" s="1315"/>
      <c r="R606" s="1315"/>
      <c r="S606" s="1315"/>
      <c r="T606" s="1315"/>
      <c r="U606" s="1315"/>
    </row>
    <row r="607" spans="2:21">
      <c r="B607" s="1946"/>
      <c r="C607" s="1946"/>
      <c r="D607" s="1946"/>
      <c r="E607" s="1946"/>
      <c r="F607" s="1946"/>
      <c r="G607" s="1947"/>
      <c r="H607" s="1948"/>
      <c r="I607" s="1949"/>
      <c r="J607" s="1329">
        <f>IF(G607&gt;=0,0,"C60&gt;=0")</f>
        <v>0</v>
      </c>
      <c r="K607" s="1329">
        <f>IF(H607&gt;=0,0,"C70&gt;=0")</f>
        <v>0</v>
      </c>
      <c r="L607" s="1329"/>
      <c r="M607" s="1335">
        <f>IF(G607&lt;=1,0,"c60&lt;=1")</f>
        <v>0</v>
      </c>
      <c r="N607" s="1335">
        <f>IF(($G607*100)&gt;100,"C60 Invalid value greater than 100",IF(($G607*100)&lt;&gt;ROUND(($G607*100),2),($G607*100)&amp;": C60 Invalid no. of decimals",0))</f>
        <v>0</v>
      </c>
      <c r="O607" s="1335"/>
      <c r="P607" s="1315"/>
      <c r="Q607" s="1315"/>
      <c r="R607" s="1315"/>
      <c r="S607" s="1315"/>
      <c r="T607" s="1315"/>
      <c r="U607" s="1315"/>
    </row>
    <row r="608" spans="2:21">
      <c r="B608" s="1946"/>
      <c r="C608" s="1946"/>
      <c r="D608" s="1946"/>
      <c r="E608" s="1946"/>
      <c r="F608" s="1946"/>
      <c r="G608" s="1947"/>
      <c r="H608" s="1948"/>
      <c r="I608" s="1949"/>
      <c r="J608" s="1329">
        <f t="shared" ref="J608:J611" si="194">IF(G608&gt;=0,0,"C60&gt;=0")</f>
        <v>0</v>
      </c>
      <c r="K608" s="1329">
        <f t="shared" ref="K608:K611" si="195">IF(H608&gt;=0,0,"C70&gt;=0")</f>
        <v>0</v>
      </c>
      <c r="L608" s="1329"/>
      <c r="M608" s="1335">
        <f t="shared" ref="M608:M611" si="196">IF(G608&lt;=1,0,"c60&lt;=1")</f>
        <v>0</v>
      </c>
      <c r="N608" s="1335">
        <f t="shared" si="187"/>
        <v>0</v>
      </c>
      <c r="O608" s="1335"/>
      <c r="P608" s="1315"/>
      <c r="Q608" s="1315"/>
      <c r="R608" s="1315"/>
      <c r="S608" s="1315"/>
      <c r="T608" s="1315"/>
      <c r="U608" s="1315"/>
    </row>
    <row r="609" spans="2:21">
      <c r="B609" s="1946"/>
      <c r="C609" s="1946"/>
      <c r="D609" s="1946"/>
      <c r="E609" s="1946"/>
      <c r="F609" s="1946"/>
      <c r="G609" s="1947"/>
      <c r="H609" s="1948"/>
      <c r="I609" s="1949"/>
      <c r="J609" s="1329">
        <f t="shared" si="194"/>
        <v>0</v>
      </c>
      <c r="K609" s="1329">
        <f t="shared" si="195"/>
        <v>0</v>
      </c>
      <c r="L609" s="1329"/>
      <c r="M609" s="1335">
        <f t="shared" si="196"/>
        <v>0</v>
      </c>
      <c r="N609" s="1335">
        <f t="shared" si="187"/>
        <v>0</v>
      </c>
      <c r="O609" s="1335"/>
      <c r="P609" s="1315"/>
      <c r="Q609" s="1315"/>
      <c r="R609" s="1315"/>
      <c r="S609" s="1315"/>
      <c r="T609" s="1315"/>
      <c r="U609" s="1315"/>
    </row>
    <row r="610" spans="2:21">
      <c r="B610" s="1946"/>
      <c r="C610" s="1946"/>
      <c r="D610" s="1946"/>
      <c r="E610" s="1946"/>
      <c r="F610" s="1946"/>
      <c r="G610" s="1947"/>
      <c r="H610" s="1948"/>
      <c r="I610" s="1949"/>
      <c r="J610" s="1329">
        <f t="shared" si="194"/>
        <v>0</v>
      </c>
      <c r="K610" s="1329">
        <f t="shared" si="195"/>
        <v>0</v>
      </c>
      <c r="L610" s="1329"/>
      <c r="M610" s="1335">
        <f t="shared" si="196"/>
        <v>0</v>
      </c>
      <c r="N610" s="1335">
        <f t="shared" si="187"/>
        <v>0</v>
      </c>
      <c r="O610" s="1335"/>
      <c r="P610" s="1315"/>
      <c r="Q610" s="1315"/>
      <c r="R610" s="1315"/>
      <c r="S610" s="1315"/>
      <c r="T610" s="1315"/>
      <c r="U610" s="1315"/>
    </row>
    <row r="611" spans="2:21">
      <c r="B611" s="1946"/>
      <c r="C611" s="1946"/>
      <c r="D611" s="1946"/>
      <c r="E611" s="1946"/>
      <c r="F611" s="1946"/>
      <c r="G611" s="1947"/>
      <c r="H611" s="1948"/>
      <c r="I611" s="1949"/>
      <c r="J611" s="1329">
        <f t="shared" si="194"/>
        <v>0</v>
      </c>
      <c r="K611" s="1329">
        <f t="shared" si="195"/>
        <v>0</v>
      </c>
      <c r="L611" s="1329"/>
      <c r="M611" s="1335">
        <f t="shared" si="196"/>
        <v>0</v>
      </c>
      <c r="N611" s="1335">
        <f t="shared" si="187"/>
        <v>0</v>
      </c>
      <c r="O611" s="1335"/>
      <c r="P611" s="1315"/>
      <c r="Q611" s="1315"/>
      <c r="R611" s="1315"/>
      <c r="S611" s="1315"/>
      <c r="T611" s="1315"/>
      <c r="U611" s="1315"/>
    </row>
    <row r="612" spans="2:21">
      <c r="B612" s="1946"/>
      <c r="C612" s="1946"/>
      <c r="D612" s="1946"/>
      <c r="E612" s="1946"/>
      <c r="F612" s="1946"/>
      <c r="G612" s="1947"/>
      <c r="H612" s="1948"/>
      <c r="I612" s="1949"/>
      <c r="J612" s="1329">
        <f>IF(G612&gt;=0,0,"C60&gt;=0")</f>
        <v>0</v>
      </c>
      <c r="K612" s="1329">
        <f>IF(H612&gt;=0,0,"C70&gt;=0")</f>
        <v>0</v>
      </c>
      <c r="L612" s="1329"/>
      <c r="M612" s="1335">
        <f>IF(G612&lt;=1,0,"c60&lt;=1")</f>
        <v>0</v>
      </c>
      <c r="N612" s="1335">
        <f>IF(($G612*100)&gt;100,"C60 Invalid value greater than 100",IF(($G612*100)&lt;&gt;ROUND(($G612*100),2),($G612*100)&amp;": C60 Invalid no. of decimals",0))</f>
        <v>0</v>
      </c>
      <c r="O612" s="1335"/>
      <c r="P612" s="1315"/>
      <c r="Q612" s="1315"/>
      <c r="R612" s="1315"/>
      <c r="S612" s="1315"/>
      <c r="T612" s="1315"/>
      <c r="U612" s="1315"/>
    </row>
    <row r="613" spans="2:21">
      <c r="B613" s="1946"/>
      <c r="C613" s="1946"/>
      <c r="D613" s="1946"/>
      <c r="E613" s="1946"/>
      <c r="F613" s="1946"/>
      <c r="G613" s="1947"/>
      <c r="H613" s="1948"/>
      <c r="I613" s="1949"/>
      <c r="J613" s="1329">
        <f t="shared" ref="J613:J616" si="197">IF(G613&gt;=0,0,"C60&gt;=0")</f>
        <v>0</v>
      </c>
      <c r="K613" s="1329">
        <f t="shared" ref="K613:K616" si="198">IF(H613&gt;=0,0,"C70&gt;=0")</f>
        <v>0</v>
      </c>
      <c r="L613" s="1329"/>
      <c r="M613" s="1335">
        <f t="shared" ref="M613:M616" si="199">IF(G613&lt;=1,0,"c60&lt;=1")</f>
        <v>0</v>
      </c>
      <c r="N613" s="1335">
        <f t="shared" si="187"/>
        <v>0</v>
      </c>
      <c r="O613" s="1335"/>
      <c r="P613" s="1315"/>
      <c r="Q613" s="1315"/>
      <c r="R613" s="1315"/>
      <c r="S613" s="1315"/>
      <c r="T613" s="1315"/>
      <c r="U613" s="1315"/>
    </row>
    <row r="614" spans="2:21">
      <c r="B614" s="1946"/>
      <c r="C614" s="1946"/>
      <c r="D614" s="1946"/>
      <c r="E614" s="1946"/>
      <c r="F614" s="1946"/>
      <c r="G614" s="1947"/>
      <c r="H614" s="1948"/>
      <c r="I614" s="1949"/>
      <c r="J614" s="1329">
        <f t="shared" si="197"/>
        <v>0</v>
      </c>
      <c r="K614" s="1329">
        <f t="shared" si="198"/>
        <v>0</v>
      </c>
      <c r="L614" s="1329"/>
      <c r="M614" s="1335">
        <f t="shared" si="199"/>
        <v>0</v>
      </c>
      <c r="N614" s="1335">
        <f t="shared" si="187"/>
        <v>0</v>
      </c>
      <c r="O614" s="1335"/>
      <c r="P614" s="1315"/>
      <c r="Q614" s="1315"/>
      <c r="R614" s="1315"/>
      <c r="S614" s="1315"/>
      <c r="T614" s="1315"/>
      <c r="U614" s="1315"/>
    </row>
    <row r="615" spans="2:21">
      <c r="B615" s="1946"/>
      <c r="C615" s="1946"/>
      <c r="D615" s="1946"/>
      <c r="E615" s="1946"/>
      <c r="F615" s="1946"/>
      <c r="G615" s="1947"/>
      <c r="H615" s="1948"/>
      <c r="I615" s="1949"/>
      <c r="J615" s="1329">
        <f t="shared" si="197"/>
        <v>0</v>
      </c>
      <c r="K615" s="1329">
        <f t="shared" si="198"/>
        <v>0</v>
      </c>
      <c r="L615" s="1329"/>
      <c r="M615" s="1335">
        <f t="shared" si="199"/>
        <v>0</v>
      </c>
      <c r="N615" s="1335">
        <f t="shared" si="187"/>
        <v>0</v>
      </c>
      <c r="O615" s="1335"/>
      <c r="P615" s="1315"/>
      <c r="Q615" s="1315"/>
      <c r="R615" s="1315"/>
      <c r="S615" s="1315"/>
      <c r="T615" s="1315"/>
      <c r="U615" s="1315"/>
    </row>
    <row r="616" spans="2:21">
      <c r="B616" s="1946"/>
      <c r="C616" s="1946"/>
      <c r="D616" s="1946"/>
      <c r="E616" s="1946"/>
      <c r="F616" s="1946"/>
      <c r="G616" s="1947"/>
      <c r="H616" s="1948"/>
      <c r="I616" s="1949"/>
      <c r="J616" s="1329">
        <f t="shared" si="197"/>
        <v>0</v>
      </c>
      <c r="K616" s="1329">
        <f t="shared" si="198"/>
        <v>0</v>
      </c>
      <c r="L616" s="1329"/>
      <c r="M616" s="1335">
        <f t="shared" si="199"/>
        <v>0</v>
      </c>
      <c r="N616" s="1335">
        <f t="shared" si="187"/>
        <v>0</v>
      </c>
      <c r="O616" s="1335"/>
      <c r="P616" s="1315"/>
      <c r="Q616" s="1315"/>
      <c r="R616" s="1315"/>
      <c r="S616" s="1315"/>
      <c r="T616" s="1315"/>
      <c r="U616" s="1315"/>
    </row>
    <row r="617" spans="2:21">
      <c r="B617" s="1946"/>
      <c r="C617" s="1946"/>
      <c r="D617" s="1946"/>
      <c r="E617" s="1946"/>
      <c r="F617" s="1946"/>
      <c r="G617" s="1947"/>
      <c r="H617" s="1948"/>
      <c r="I617" s="1949"/>
      <c r="J617" s="1329">
        <f>IF(G617&gt;=0,0,"C60&gt;=0")</f>
        <v>0</v>
      </c>
      <c r="K617" s="1329">
        <f>IF(H617&gt;=0,0,"C70&gt;=0")</f>
        <v>0</v>
      </c>
      <c r="L617" s="1329"/>
      <c r="M617" s="1335">
        <f>IF(G617&lt;=1,0,"c60&lt;=1")</f>
        <v>0</v>
      </c>
      <c r="N617" s="1335">
        <f>IF(($G617*100)&gt;100,"C60 Invalid value greater than 100",IF(($G617*100)&lt;&gt;ROUND(($G617*100),2),($G617*100)&amp;": C60 Invalid no. of decimals",0))</f>
        <v>0</v>
      </c>
      <c r="O617" s="1335"/>
      <c r="P617" s="1315"/>
      <c r="Q617" s="1315"/>
      <c r="R617" s="1315"/>
      <c r="S617" s="1315"/>
      <c r="T617" s="1315"/>
      <c r="U617" s="1315"/>
    </row>
    <row r="618" spans="2:21">
      <c r="B618" s="1946"/>
      <c r="C618" s="1946"/>
      <c r="D618" s="1946"/>
      <c r="E618" s="1946"/>
      <c r="F618" s="1946"/>
      <c r="G618" s="1947"/>
      <c r="H618" s="1948"/>
      <c r="I618" s="1949"/>
      <c r="J618" s="1329">
        <f t="shared" ref="J618:J621" si="200">IF(G618&gt;=0,0,"C60&gt;=0")</f>
        <v>0</v>
      </c>
      <c r="K618" s="1329">
        <f t="shared" ref="K618:K621" si="201">IF(H618&gt;=0,0,"C70&gt;=0")</f>
        <v>0</v>
      </c>
      <c r="L618" s="1329"/>
      <c r="M618" s="1335">
        <f t="shared" ref="M618:M621" si="202">IF(G618&lt;=1,0,"c60&lt;=1")</f>
        <v>0</v>
      </c>
      <c r="N618" s="1335">
        <f t="shared" si="187"/>
        <v>0</v>
      </c>
      <c r="O618" s="1335"/>
      <c r="P618" s="1315"/>
      <c r="Q618" s="1315"/>
      <c r="R618" s="1315"/>
      <c r="S618" s="1315"/>
      <c r="T618" s="1315"/>
      <c r="U618" s="1315"/>
    </row>
    <row r="619" spans="2:21">
      <c r="B619" s="1946"/>
      <c r="C619" s="1946"/>
      <c r="D619" s="1946"/>
      <c r="E619" s="1946"/>
      <c r="F619" s="1946"/>
      <c r="G619" s="1947"/>
      <c r="H619" s="1948"/>
      <c r="I619" s="1949"/>
      <c r="J619" s="1329">
        <f t="shared" si="200"/>
        <v>0</v>
      </c>
      <c r="K619" s="1329">
        <f t="shared" si="201"/>
        <v>0</v>
      </c>
      <c r="L619" s="1329"/>
      <c r="M619" s="1335">
        <f t="shared" si="202"/>
        <v>0</v>
      </c>
      <c r="N619" s="1335">
        <f t="shared" si="187"/>
        <v>0</v>
      </c>
      <c r="O619" s="1335"/>
      <c r="P619" s="1315"/>
      <c r="Q619" s="1315"/>
      <c r="R619" s="1315"/>
      <c r="S619" s="1315"/>
      <c r="T619" s="1315"/>
      <c r="U619" s="1315"/>
    </row>
    <row r="620" spans="2:21">
      <c r="B620" s="1946"/>
      <c r="C620" s="1946"/>
      <c r="D620" s="1946"/>
      <c r="E620" s="1946"/>
      <c r="F620" s="1946"/>
      <c r="G620" s="1947"/>
      <c r="H620" s="1948"/>
      <c r="I620" s="1949"/>
      <c r="J620" s="1329">
        <f t="shared" si="200"/>
        <v>0</v>
      </c>
      <c r="K620" s="1329">
        <f t="shared" si="201"/>
        <v>0</v>
      </c>
      <c r="L620" s="1329"/>
      <c r="M620" s="1335">
        <f t="shared" si="202"/>
        <v>0</v>
      </c>
      <c r="N620" s="1335">
        <f t="shared" si="187"/>
        <v>0</v>
      </c>
      <c r="O620" s="1335"/>
      <c r="P620" s="1315"/>
      <c r="Q620" s="1315"/>
      <c r="R620" s="1315"/>
      <c r="S620" s="1315"/>
      <c r="T620" s="1315"/>
      <c r="U620" s="1315"/>
    </row>
    <row r="621" spans="2:21">
      <c r="B621" s="1946"/>
      <c r="C621" s="1946"/>
      <c r="D621" s="1946"/>
      <c r="E621" s="1946"/>
      <c r="F621" s="1946"/>
      <c r="G621" s="1947"/>
      <c r="H621" s="1948"/>
      <c r="I621" s="1949"/>
      <c r="J621" s="1329">
        <f t="shared" si="200"/>
        <v>0</v>
      </c>
      <c r="K621" s="1329">
        <f t="shared" si="201"/>
        <v>0</v>
      </c>
      <c r="L621" s="1329"/>
      <c r="M621" s="1335">
        <f t="shared" si="202"/>
        <v>0</v>
      </c>
      <c r="N621" s="1335">
        <f t="shared" si="187"/>
        <v>0</v>
      </c>
      <c r="O621" s="1335"/>
      <c r="P621" s="1315"/>
      <c r="Q621" s="1315"/>
      <c r="R621" s="1315"/>
      <c r="S621" s="1315"/>
      <c r="T621" s="1315"/>
      <c r="U621" s="1315"/>
    </row>
    <row r="622" spans="2:21">
      <c r="B622" s="1946"/>
      <c r="C622" s="1946"/>
      <c r="D622" s="1946"/>
      <c r="E622" s="1946"/>
      <c r="F622" s="1946"/>
      <c r="G622" s="1947"/>
      <c r="H622" s="1948"/>
      <c r="I622" s="1949"/>
      <c r="J622" s="1329">
        <f>IF(G622&gt;=0,0,"C60&gt;=0")</f>
        <v>0</v>
      </c>
      <c r="K622" s="1329">
        <f>IF(H622&gt;=0,0,"C70&gt;=0")</f>
        <v>0</v>
      </c>
      <c r="L622" s="1329"/>
      <c r="M622" s="1335">
        <f>IF(G622&lt;=1,0,"c60&lt;=1")</f>
        <v>0</v>
      </c>
      <c r="N622" s="1335">
        <f>IF(($G622*100)&gt;100,"C60 Invalid value greater than 100",IF(($G622*100)&lt;&gt;ROUND(($G622*100),2),($G622*100)&amp;": C60 Invalid no. of decimals",0))</f>
        <v>0</v>
      </c>
      <c r="O622" s="1335"/>
      <c r="P622" s="1315"/>
      <c r="Q622" s="1315"/>
      <c r="R622" s="1315"/>
      <c r="S622" s="1315"/>
      <c r="T622" s="1315"/>
      <c r="U622" s="1315"/>
    </row>
    <row r="623" spans="2:21">
      <c r="B623" s="1946"/>
      <c r="C623" s="1946"/>
      <c r="D623" s="1946"/>
      <c r="E623" s="1946"/>
      <c r="F623" s="1946"/>
      <c r="G623" s="1947"/>
      <c r="H623" s="1948"/>
      <c r="I623" s="1949"/>
      <c r="J623" s="1329">
        <f t="shared" ref="J623:J626" si="203">IF(G623&gt;=0,0,"C60&gt;=0")</f>
        <v>0</v>
      </c>
      <c r="K623" s="1329">
        <f t="shared" ref="K623:K626" si="204">IF(H623&gt;=0,0,"C70&gt;=0")</f>
        <v>0</v>
      </c>
      <c r="L623" s="1329"/>
      <c r="M623" s="1335">
        <f t="shared" ref="M623:M626" si="205">IF(G623&lt;=1,0,"c60&lt;=1")</f>
        <v>0</v>
      </c>
      <c r="N623" s="1335">
        <f t="shared" si="187"/>
        <v>0</v>
      </c>
      <c r="O623" s="1335"/>
      <c r="P623" s="1315"/>
      <c r="Q623" s="1315"/>
      <c r="R623" s="1315"/>
      <c r="S623" s="1315"/>
      <c r="T623" s="1315"/>
      <c r="U623" s="1315"/>
    </row>
    <row r="624" spans="2:21">
      <c r="B624" s="1946"/>
      <c r="C624" s="1946"/>
      <c r="D624" s="1946"/>
      <c r="E624" s="1946"/>
      <c r="F624" s="1946"/>
      <c r="G624" s="1947"/>
      <c r="H624" s="1948"/>
      <c r="I624" s="1949"/>
      <c r="J624" s="1329">
        <f t="shared" si="203"/>
        <v>0</v>
      </c>
      <c r="K624" s="1329">
        <f t="shared" si="204"/>
        <v>0</v>
      </c>
      <c r="L624" s="1329"/>
      <c r="M624" s="1335">
        <f t="shared" si="205"/>
        <v>0</v>
      </c>
      <c r="N624" s="1335">
        <f t="shared" si="187"/>
        <v>0</v>
      </c>
      <c r="O624" s="1335"/>
      <c r="P624" s="1315"/>
      <c r="Q624" s="1315"/>
      <c r="R624" s="1315"/>
      <c r="S624" s="1315"/>
      <c r="T624" s="1315"/>
      <c r="U624" s="1315"/>
    </row>
    <row r="625" spans="2:21">
      <c r="B625" s="1946"/>
      <c r="C625" s="1946"/>
      <c r="D625" s="1946"/>
      <c r="E625" s="1946"/>
      <c r="F625" s="1946"/>
      <c r="G625" s="1947"/>
      <c r="H625" s="1948"/>
      <c r="I625" s="1949"/>
      <c r="J625" s="1329">
        <f t="shared" si="203"/>
        <v>0</v>
      </c>
      <c r="K625" s="1329">
        <f t="shared" si="204"/>
        <v>0</v>
      </c>
      <c r="L625" s="1329"/>
      <c r="M625" s="1335">
        <f t="shared" si="205"/>
        <v>0</v>
      </c>
      <c r="N625" s="1335">
        <f t="shared" si="187"/>
        <v>0</v>
      </c>
      <c r="O625" s="1335"/>
      <c r="P625" s="1315"/>
      <c r="Q625" s="1315"/>
      <c r="R625" s="1315"/>
      <c r="S625" s="1315"/>
      <c r="T625" s="1315"/>
      <c r="U625" s="1315"/>
    </row>
    <row r="626" spans="2:21">
      <c r="B626" s="1946"/>
      <c r="C626" s="1946"/>
      <c r="D626" s="1946"/>
      <c r="E626" s="1946"/>
      <c r="F626" s="1946"/>
      <c r="G626" s="1947"/>
      <c r="H626" s="1948"/>
      <c r="I626" s="1949"/>
      <c r="J626" s="1329">
        <f t="shared" si="203"/>
        <v>0</v>
      </c>
      <c r="K626" s="1329">
        <f t="shared" si="204"/>
        <v>0</v>
      </c>
      <c r="L626" s="1329"/>
      <c r="M626" s="1335">
        <f t="shared" si="205"/>
        <v>0</v>
      </c>
      <c r="N626" s="1335">
        <f t="shared" si="187"/>
        <v>0</v>
      </c>
      <c r="O626" s="1335"/>
      <c r="P626" s="1315"/>
      <c r="Q626" s="1315"/>
      <c r="R626" s="1315"/>
      <c r="S626" s="1315"/>
      <c r="T626" s="1315"/>
      <c r="U626" s="1315"/>
    </row>
    <row r="627" spans="2:21">
      <c r="B627" s="1946"/>
      <c r="C627" s="1946"/>
      <c r="D627" s="1946"/>
      <c r="E627" s="1946"/>
      <c r="F627" s="1946"/>
      <c r="G627" s="1947"/>
      <c r="H627" s="1948"/>
      <c r="I627" s="1949"/>
      <c r="J627" s="1329">
        <f>IF(G627&gt;=0,0,"C60&gt;=0")</f>
        <v>0</v>
      </c>
      <c r="K627" s="1329">
        <f>IF(H627&gt;=0,0,"C70&gt;=0")</f>
        <v>0</v>
      </c>
      <c r="L627" s="1329"/>
      <c r="M627" s="1335">
        <f>IF(G627&lt;=1,0,"c60&lt;=1")</f>
        <v>0</v>
      </c>
      <c r="N627" s="1335">
        <f>IF(($G627*100)&gt;100,"C60 Invalid value greater than 100",IF(($G627*100)&lt;&gt;ROUND(($G627*100),2),($G627*100)&amp;": C60 Invalid no. of decimals",0))</f>
        <v>0</v>
      </c>
      <c r="O627" s="1335"/>
      <c r="P627" s="1315"/>
      <c r="Q627" s="1315"/>
      <c r="R627" s="1315"/>
      <c r="S627" s="1315"/>
      <c r="T627" s="1315"/>
      <c r="U627" s="1315"/>
    </row>
    <row r="628" spans="2:21">
      <c r="B628" s="1946"/>
      <c r="C628" s="1946"/>
      <c r="D628" s="1946"/>
      <c r="E628" s="1946"/>
      <c r="F628" s="1946"/>
      <c r="G628" s="1947"/>
      <c r="H628" s="1948"/>
      <c r="I628" s="1949"/>
      <c r="J628" s="1329">
        <f t="shared" ref="J628:J631" si="206">IF(G628&gt;=0,0,"C60&gt;=0")</f>
        <v>0</v>
      </c>
      <c r="K628" s="1329">
        <f t="shared" ref="K628:K631" si="207">IF(H628&gt;=0,0,"C70&gt;=0")</f>
        <v>0</v>
      </c>
      <c r="L628" s="1329"/>
      <c r="M628" s="1335">
        <f t="shared" ref="M628:M631" si="208">IF(G628&lt;=1,0,"c60&lt;=1")</f>
        <v>0</v>
      </c>
      <c r="N628" s="1335">
        <f t="shared" si="187"/>
        <v>0</v>
      </c>
      <c r="O628" s="1335"/>
      <c r="P628" s="1315"/>
      <c r="Q628" s="1315"/>
      <c r="R628" s="1315"/>
      <c r="S628" s="1315"/>
      <c r="T628" s="1315"/>
      <c r="U628" s="1315"/>
    </row>
    <row r="629" spans="2:21">
      <c r="B629" s="1946"/>
      <c r="C629" s="1946"/>
      <c r="D629" s="1946"/>
      <c r="E629" s="1946"/>
      <c r="F629" s="1946"/>
      <c r="G629" s="1947"/>
      <c r="H629" s="1948"/>
      <c r="I629" s="1949"/>
      <c r="J629" s="1329">
        <f t="shared" si="206"/>
        <v>0</v>
      </c>
      <c r="K629" s="1329">
        <f t="shared" si="207"/>
        <v>0</v>
      </c>
      <c r="L629" s="1329"/>
      <c r="M629" s="1335">
        <f t="shared" si="208"/>
        <v>0</v>
      </c>
      <c r="N629" s="1335">
        <f t="shared" si="187"/>
        <v>0</v>
      </c>
      <c r="O629" s="1335"/>
      <c r="P629" s="1315"/>
      <c r="Q629" s="1315"/>
      <c r="R629" s="1315"/>
      <c r="S629" s="1315"/>
      <c r="T629" s="1315"/>
      <c r="U629" s="1315"/>
    </row>
    <row r="630" spans="2:21">
      <c r="B630" s="1946"/>
      <c r="C630" s="1946"/>
      <c r="D630" s="1946"/>
      <c r="E630" s="1946"/>
      <c r="F630" s="1946"/>
      <c r="G630" s="1947"/>
      <c r="H630" s="1948"/>
      <c r="I630" s="1949"/>
      <c r="J630" s="1329">
        <f t="shared" si="206"/>
        <v>0</v>
      </c>
      <c r="K630" s="1329">
        <f t="shared" si="207"/>
        <v>0</v>
      </c>
      <c r="L630" s="1329"/>
      <c r="M630" s="1335">
        <f t="shared" si="208"/>
        <v>0</v>
      </c>
      <c r="N630" s="1335">
        <f t="shared" si="187"/>
        <v>0</v>
      </c>
      <c r="O630" s="1335"/>
      <c r="P630" s="1315"/>
      <c r="Q630" s="1315"/>
      <c r="R630" s="1315"/>
      <c r="S630" s="1315"/>
      <c r="T630" s="1315"/>
      <c r="U630" s="1315"/>
    </row>
    <row r="631" spans="2:21">
      <c r="B631" s="1946"/>
      <c r="C631" s="1946"/>
      <c r="D631" s="1946"/>
      <c r="E631" s="1946"/>
      <c r="F631" s="1946"/>
      <c r="G631" s="1947"/>
      <c r="H631" s="1948"/>
      <c r="I631" s="1949"/>
      <c r="J631" s="1329">
        <f t="shared" si="206"/>
        <v>0</v>
      </c>
      <c r="K631" s="1329">
        <f t="shared" si="207"/>
        <v>0</v>
      </c>
      <c r="L631" s="1329"/>
      <c r="M631" s="1335">
        <f t="shared" si="208"/>
        <v>0</v>
      </c>
      <c r="N631" s="1335">
        <f t="shared" si="187"/>
        <v>0</v>
      </c>
      <c r="O631" s="1335"/>
      <c r="P631" s="1315"/>
      <c r="Q631" s="1315"/>
      <c r="R631" s="1315"/>
      <c r="S631" s="1315"/>
      <c r="T631" s="1315"/>
      <c r="U631" s="1315"/>
    </row>
    <row r="632" spans="2:21">
      <c r="B632" s="1946"/>
      <c r="C632" s="1946"/>
      <c r="D632" s="1946"/>
      <c r="E632" s="1946"/>
      <c r="F632" s="1946"/>
      <c r="G632" s="1947"/>
      <c r="H632" s="1948"/>
      <c r="I632" s="1949"/>
      <c r="J632" s="1329">
        <f>IF(G632&gt;=0,0,"C60&gt;=0")</f>
        <v>0</v>
      </c>
      <c r="K632" s="1329">
        <f>IF(H632&gt;=0,0,"C70&gt;=0")</f>
        <v>0</v>
      </c>
      <c r="L632" s="1329"/>
      <c r="M632" s="1335">
        <f>IF(G632&lt;=1,0,"c60&lt;=1")</f>
        <v>0</v>
      </c>
      <c r="N632" s="1335">
        <f>IF(($G632*100)&gt;100,"C60 Invalid value greater than 100",IF(($G632*100)&lt;&gt;ROUND(($G632*100),2),($G632*100)&amp;": C60 Invalid no. of decimals",0))</f>
        <v>0</v>
      </c>
      <c r="O632" s="1335"/>
      <c r="P632" s="1315"/>
      <c r="Q632" s="1315"/>
      <c r="R632" s="1315"/>
      <c r="S632" s="1315"/>
      <c r="T632" s="1315"/>
      <c r="U632" s="1315"/>
    </row>
    <row r="633" spans="2:21">
      <c r="B633" s="1946"/>
      <c r="C633" s="1946"/>
      <c r="D633" s="1946"/>
      <c r="E633" s="1946"/>
      <c r="F633" s="1946"/>
      <c r="G633" s="1947"/>
      <c r="H633" s="1948"/>
      <c r="I633" s="1949"/>
      <c r="J633" s="1329">
        <f t="shared" ref="J633:J636" si="209">IF(G633&gt;=0,0,"C60&gt;=0")</f>
        <v>0</v>
      </c>
      <c r="K633" s="1329">
        <f t="shared" ref="K633:K636" si="210">IF(H633&gt;=0,0,"C70&gt;=0")</f>
        <v>0</v>
      </c>
      <c r="L633" s="1329"/>
      <c r="M633" s="1335">
        <f t="shared" ref="M633:M636" si="211">IF(G633&lt;=1,0,"c60&lt;=1")</f>
        <v>0</v>
      </c>
      <c r="N633" s="1335">
        <f t="shared" si="187"/>
        <v>0</v>
      </c>
      <c r="O633" s="1335"/>
      <c r="P633" s="1315"/>
      <c r="Q633" s="1315"/>
      <c r="R633" s="1315"/>
      <c r="S633" s="1315"/>
      <c r="T633" s="1315"/>
      <c r="U633" s="1315"/>
    </row>
    <row r="634" spans="2:21">
      <c r="B634" s="1946"/>
      <c r="C634" s="1946"/>
      <c r="D634" s="1946"/>
      <c r="E634" s="1946"/>
      <c r="F634" s="1946"/>
      <c r="G634" s="1947"/>
      <c r="H634" s="1948"/>
      <c r="I634" s="1949"/>
      <c r="J634" s="1329">
        <f t="shared" si="209"/>
        <v>0</v>
      </c>
      <c r="K634" s="1329">
        <f t="shared" si="210"/>
        <v>0</v>
      </c>
      <c r="L634" s="1329"/>
      <c r="M634" s="1335">
        <f t="shared" si="211"/>
        <v>0</v>
      </c>
      <c r="N634" s="1335">
        <f t="shared" si="187"/>
        <v>0</v>
      </c>
      <c r="O634" s="1335"/>
      <c r="P634" s="1315"/>
      <c r="Q634" s="1315"/>
      <c r="R634" s="1315"/>
      <c r="S634" s="1315"/>
      <c r="T634" s="1315"/>
      <c r="U634" s="1315"/>
    </row>
    <row r="635" spans="2:21">
      <c r="B635" s="1946"/>
      <c r="C635" s="1946"/>
      <c r="D635" s="1946"/>
      <c r="E635" s="1946"/>
      <c r="F635" s="1946"/>
      <c r="G635" s="1947"/>
      <c r="H635" s="1948"/>
      <c r="I635" s="1949"/>
      <c r="J635" s="1329">
        <f t="shared" si="209"/>
        <v>0</v>
      </c>
      <c r="K635" s="1329">
        <f t="shared" si="210"/>
        <v>0</v>
      </c>
      <c r="L635" s="1329"/>
      <c r="M635" s="1335">
        <f t="shared" si="211"/>
        <v>0</v>
      </c>
      <c r="N635" s="1335">
        <f t="shared" si="187"/>
        <v>0</v>
      </c>
      <c r="O635" s="1335"/>
      <c r="P635" s="1315"/>
      <c r="Q635" s="1315"/>
      <c r="R635" s="1315"/>
      <c r="S635" s="1315"/>
      <c r="T635" s="1315"/>
      <c r="U635" s="1315"/>
    </row>
    <row r="636" spans="2:21">
      <c r="B636" s="1946"/>
      <c r="C636" s="1946"/>
      <c r="D636" s="1946"/>
      <c r="E636" s="1946"/>
      <c r="F636" s="1946"/>
      <c r="G636" s="1947"/>
      <c r="H636" s="1948"/>
      <c r="I636" s="1949"/>
      <c r="J636" s="1329">
        <f t="shared" si="209"/>
        <v>0</v>
      </c>
      <c r="K636" s="1329">
        <f t="shared" si="210"/>
        <v>0</v>
      </c>
      <c r="L636" s="1329"/>
      <c r="M636" s="1335">
        <f t="shared" si="211"/>
        <v>0</v>
      </c>
      <c r="N636" s="1335">
        <f t="shared" si="187"/>
        <v>0</v>
      </c>
      <c r="O636" s="1335"/>
      <c r="P636" s="1315"/>
      <c r="Q636" s="1315"/>
      <c r="R636" s="1315"/>
      <c r="S636" s="1315"/>
      <c r="T636" s="1315"/>
      <c r="U636" s="1315"/>
    </row>
    <row r="637" spans="2:21">
      <c r="B637" s="1946"/>
      <c r="C637" s="1946"/>
      <c r="D637" s="1946"/>
      <c r="E637" s="1946"/>
      <c r="F637" s="1946"/>
      <c r="G637" s="1947"/>
      <c r="H637" s="1948"/>
      <c r="I637" s="1949"/>
      <c r="J637" s="1329">
        <f>IF(G637&gt;=0,0,"C60&gt;=0")</f>
        <v>0</v>
      </c>
      <c r="K637" s="1329">
        <f>IF(H637&gt;=0,0,"C70&gt;=0")</f>
        <v>0</v>
      </c>
      <c r="L637" s="1329"/>
      <c r="M637" s="1335">
        <f>IF(G637&lt;=1,0,"c60&lt;=1")</f>
        <v>0</v>
      </c>
      <c r="N637" s="1335">
        <f>IF(($G637*100)&gt;100,"C60 Invalid value greater than 100",IF(($G637*100)&lt;&gt;ROUND(($G637*100),2),($G637*100)&amp;": C60 Invalid no. of decimals",0))</f>
        <v>0</v>
      </c>
      <c r="O637" s="1335"/>
      <c r="P637" s="1315"/>
      <c r="Q637" s="1315"/>
      <c r="R637" s="1315"/>
      <c r="S637" s="1315"/>
      <c r="T637" s="1315"/>
      <c r="U637" s="1315"/>
    </row>
    <row r="638" spans="2:21">
      <c r="B638" s="1946"/>
      <c r="C638" s="1946"/>
      <c r="D638" s="1946"/>
      <c r="E638" s="1946"/>
      <c r="F638" s="1946"/>
      <c r="G638" s="1947"/>
      <c r="H638" s="1948"/>
      <c r="I638" s="1949"/>
      <c r="J638" s="1329">
        <f t="shared" ref="J638:J641" si="212">IF(G638&gt;=0,0,"C60&gt;=0")</f>
        <v>0</v>
      </c>
      <c r="K638" s="1329">
        <f t="shared" ref="K638:K641" si="213">IF(H638&gt;=0,0,"C70&gt;=0")</f>
        <v>0</v>
      </c>
      <c r="L638" s="1329"/>
      <c r="M638" s="1335">
        <f t="shared" ref="M638:M641" si="214">IF(G638&lt;=1,0,"c60&lt;=1")</f>
        <v>0</v>
      </c>
      <c r="N638" s="1335">
        <f t="shared" si="187"/>
        <v>0</v>
      </c>
      <c r="O638" s="1335"/>
      <c r="P638" s="1315"/>
      <c r="Q638" s="1315"/>
      <c r="R638" s="1315"/>
      <c r="S638" s="1315"/>
      <c r="T638" s="1315"/>
      <c r="U638" s="1315"/>
    </row>
    <row r="639" spans="2:21">
      <c r="B639" s="1946"/>
      <c r="C639" s="1946"/>
      <c r="D639" s="1946"/>
      <c r="E639" s="1946"/>
      <c r="F639" s="1946"/>
      <c r="G639" s="1947"/>
      <c r="H639" s="1948"/>
      <c r="I639" s="1949"/>
      <c r="J639" s="1329">
        <f t="shared" si="212"/>
        <v>0</v>
      </c>
      <c r="K639" s="1329">
        <f t="shared" si="213"/>
        <v>0</v>
      </c>
      <c r="L639" s="1329"/>
      <c r="M639" s="1335">
        <f t="shared" si="214"/>
        <v>0</v>
      </c>
      <c r="N639" s="1335">
        <f t="shared" si="187"/>
        <v>0</v>
      </c>
      <c r="O639" s="1335"/>
      <c r="P639" s="1315"/>
      <c r="Q639" s="1315"/>
      <c r="R639" s="1315"/>
      <c r="S639" s="1315"/>
      <c r="T639" s="1315"/>
      <c r="U639" s="1315"/>
    </row>
    <row r="640" spans="2:21">
      <c r="B640" s="1946"/>
      <c r="C640" s="1946"/>
      <c r="D640" s="1946"/>
      <c r="E640" s="1946"/>
      <c r="F640" s="1946"/>
      <c r="G640" s="1947"/>
      <c r="H640" s="1948"/>
      <c r="I640" s="1949"/>
      <c r="J640" s="1329">
        <f t="shared" si="212"/>
        <v>0</v>
      </c>
      <c r="K640" s="1329">
        <f t="shared" si="213"/>
        <v>0</v>
      </c>
      <c r="L640" s="1329"/>
      <c r="M640" s="1335">
        <f t="shared" si="214"/>
        <v>0</v>
      </c>
      <c r="N640" s="1335">
        <f t="shared" si="187"/>
        <v>0</v>
      </c>
      <c r="O640" s="1335"/>
      <c r="P640" s="1315"/>
      <c r="Q640" s="1315"/>
      <c r="R640" s="1315"/>
      <c r="S640" s="1315"/>
      <c r="T640" s="1315"/>
      <c r="U640" s="1315"/>
    </row>
    <row r="641" spans="2:21">
      <c r="B641" s="1946"/>
      <c r="C641" s="1946"/>
      <c r="D641" s="1946"/>
      <c r="E641" s="1946"/>
      <c r="F641" s="1946"/>
      <c r="G641" s="1947"/>
      <c r="H641" s="1948"/>
      <c r="I641" s="1949"/>
      <c r="J641" s="1329">
        <f t="shared" si="212"/>
        <v>0</v>
      </c>
      <c r="K641" s="1329">
        <f t="shared" si="213"/>
        <v>0</v>
      </c>
      <c r="L641" s="1329"/>
      <c r="M641" s="1335">
        <f t="shared" si="214"/>
        <v>0</v>
      </c>
      <c r="N641" s="1335">
        <f t="shared" si="187"/>
        <v>0</v>
      </c>
      <c r="O641" s="1335"/>
      <c r="P641" s="1315"/>
      <c r="Q641" s="1315"/>
      <c r="R641" s="1315"/>
      <c r="S641" s="1315"/>
      <c r="T641" s="1315"/>
      <c r="U641" s="1315"/>
    </row>
    <row r="642" spans="2:21">
      <c r="B642" s="1946"/>
      <c r="C642" s="1946"/>
      <c r="D642" s="1946"/>
      <c r="E642" s="1946"/>
      <c r="F642" s="1946"/>
      <c r="G642" s="1947"/>
      <c r="H642" s="1948"/>
      <c r="I642" s="1949"/>
      <c r="J642" s="1329">
        <f>IF(G642&gt;=0,0,"C60&gt;=0")</f>
        <v>0</v>
      </c>
      <c r="K642" s="1329">
        <f>IF(H642&gt;=0,0,"C70&gt;=0")</f>
        <v>0</v>
      </c>
      <c r="L642" s="1329"/>
      <c r="M642" s="1335">
        <f>IF(G642&lt;=1,0,"c60&lt;=1")</f>
        <v>0</v>
      </c>
      <c r="N642" s="1335">
        <f>IF(($G642*100)&gt;100,"C60 Invalid value greater than 100",IF(($G642*100)&lt;&gt;ROUND(($G642*100),2),($G642*100)&amp;": C60 Invalid no. of decimals",0))</f>
        <v>0</v>
      </c>
      <c r="O642" s="1335"/>
      <c r="P642" s="1315"/>
      <c r="Q642" s="1315"/>
      <c r="R642" s="1315"/>
      <c r="S642" s="1315"/>
      <c r="T642" s="1315"/>
      <c r="U642" s="1315"/>
    </row>
    <row r="643" spans="2:21">
      <c r="B643" s="1946"/>
      <c r="C643" s="1946"/>
      <c r="D643" s="1946"/>
      <c r="E643" s="1946"/>
      <c r="F643" s="1946"/>
      <c r="G643" s="1947"/>
      <c r="H643" s="1948"/>
      <c r="I643" s="1949"/>
      <c r="J643" s="1329">
        <f t="shared" ref="J643:J646" si="215">IF(G643&gt;=0,0,"C60&gt;=0")</f>
        <v>0</v>
      </c>
      <c r="K643" s="1329">
        <f t="shared" ref="K643:K646" si="216">IF(H643&gt;=0,0,"C70&gt;=0")</f>
        <v>0</v>
      </c>
      <c r="L643" s="1329"/>
      <c r="M643" s="1335">
        <f t="shared" ref="M643:M646" si="217">IF(G643&lt;=1,0,"c60&lt;=1")</f>
        <v>0</v>
      </c>
      <c r="N643" s="1335">
        <f t="shared" si="187"/>
        <v>0</v>
      </c>
      <c r="O643" s="1335"/>
      <c r="P643" s="1315"/>
      <c r="Q643" s="1315"/>
      <c r="R643" s="1315"/>
      <c r="S643" s="1315"/>
      <c r="T643" s="1315"/>
      <c r="U643" s="1315"/>
    </row>
    <row r="644" spans="2:21">
      <c r="B644" s="1946"/>
      <c r="C644" s="1946"/>
      <c r="D644" s="1946"/>
      <c r="E644" s="1946"/>
      <c r="F644" s="1946"/>
      <c r="G644" s="1947"/>
      <c r="H644" s="1948"/>
      <c r="I644" s="1949"/>
      <c r="J644" s="1329">
        <f t="shared" si="215"/>
        <v>0</v>
      </c>
      <c r="K644" s="1329">
        <f t="shared" si="216"/>
        <v>0</v>
      </c>
      <c r="L644" s="1329"/>
      <c r="M644" s="1335">
        <f t="shared" si="217"/>
        <v>0</v>
      </c>
      <c r="N644" s="1335">
        <f t="shared" si="187"/>
        <v>0</v>
      </c>
      <c r="O644" s="1335"/>
      <c r="P644" s="1315"/>
      <c r="Q644" s="1315"/>
      <c r="R644" s="1315"/>
      <c r="S644" s="1315"/>
      <c r="T644" s="1315"/>
      <c r="U644" s="1315"/>
    </row>
    <row r="645" spans="2:21">
      <c r="B645" s="1946"/>
      <c r="C645" s="1946"/>
      <c r="D645" s="1946"/>
      <c r="E645" s="1946"/>
      <c r="F645" s="1946"/>
      <c r="G645" s="1947"/>
      <c r="H645" s="1948"/>
      <c r="I645" s="1949"/>
      <c r="J645" s="1329">
        <f t="shared" si="215"/>
        <v>0</v>
      </c>
      <c r="K645" s="1329">
        <f t="shared" si="216"/>
        <v>0</v>
      </c>
      <c r="L645" s="1329"/>
      <c r="M645" s="1335">
        <f t="shared" si="217"/>
        <v>0</v>
      </c>
      <c r="N645" s="1335">
        <f t="shared" si="187"/>
        <v>0</v>
      </c>
      <c r="O645" s="1335"/>
      <c r="P645" s="1315"/>
      <c r="Q645" s="1315"/>
      <c r="R645" s="1315"/>
      <c r="S645" s="1315"/>
      <c r="T645" s="1315"/>
      <c r="U645" s="1315"/>
    </row>
    <row r="646" spans="2:21">
      <c r="B646" s="1946"/>
      <c r="C646" s="1946"/>
      <c r="D646" s="1946"/>
      <c r="E646" s="1946"/>
      <c r="F646" s="1946"/>
      <c r="G646" s="1947"/>
      <c r="H646" s="1948"/>
      <c r="I646" s="1949"/>
      <c r="J646" s="1329">
        <f t="shared" si="215"/>
        <v>0</v>
      </c>
      <c r="K646" s="1329">
        <f t="shared" si="216"/>
        <v>0</v>
      </c>
      <c r="L646" s="1329"/>
      <c r="M646" s="1335">
        <f t="shared" si="217"/>
        <v>0</v>
      </c>
      <c r="N646" s="1335">
        <f t="shared" si="187"/>
        <v>0</v>
      </c>
      <c r="O646" s="1335"/>
      <c r="P646" s="1315"/>
      <c r="Q646" s="1315"/>
      <c r="R646" s="1315"/>
      <c r="S646" s="1315"/>
      <c r="T646" s="1315"/>
      <c r="U646" s="1315"/>
    </row>
    <row r="647" spans="2:21">
      <c r="B647" s="1946"/>
      <c r="C647" s="1946"/>
      <c r="D647" s="1946"/>
      <c r="E647" s="1946"/>
      <c r="F647" s="1946"/>
      <c r="G647" s="1947"/>
      <c r="H647" s="1948"/>
      <c r="I647" s="1949"/>
      <c r="J647" s="1329">
        <f>IF(G647&gt;=0,0,"C60&gt;=0")</f>
        <v>0</v>
      </c>
      <c r="K647" s="1329">
        <f>IF(H647&gt;=0,0,"C70&gt;=0")</f>
        <v>0</v>
      </c>
      <c r="L647" s="1329"/>
      <c r="M647" s="1335">
        <f>IF(G647&lt;=1,0,"c60&lt;=1")</f>
        <v>0</v>
      </c>
      <c r="N647" s="1335">
        <f>IF(($G647*100)&gt;100,"C60 Invalid value greater than 100",IF(($G647*100)&lt;&gt;ROUND(($G647*100),2),($G647*100)&amp;": C60 Invalid no. of decimals",0))</f>
        <v>0</v>
      </c>
      <c r="O647" s="1335"/>
      <c r="P647" s="1315"/>
      <c r="Q647" s="1315"/>
      <c r="R647" s="1315"/>
      <c r="S647" s="1315"/>
      <c r="T647" s="1315"/>
      <c r="U647" s="1315"/>
    </row>
    <row r="648" spans="2:21">
      <c r="B648" s="1946"/>
      <c r="C648" s="1946"/>
      <c r="D648" s="1946"/>
      <c r="E648" s="1946"/>
      <c r="F648" s="1946"/>
      <c r="G648" s="1947"/>
      <c r="H648" s="1948"/>
      <c r="I648" s="1949"/>
      <c r="J648" s="1329">
        <f t="shared" ref="J648:J651" si="218">IF(G648&gt;=0,0,"C60&gt;=0")</f>
        <v>0</v>
      </c>
      <c r="K648" s="1329">
        <f t="shared" ref="K648:K651" si="219">IF(H648&gt;=0,0,"C70&gt;=0")</f>
        <v>0</v>
      </c>
      <c r="L648" s="1329"/>
      <c r="M648" s="1335">
        <f t="shared" ref="M648:M651" si="220">IF(G648&lt;=1,0,"c60&lt;=1")</f>
        <v>0</v>
      </c>
      <c r="N648" s="1335">
        <f t="shared" si="187"/>
        <v>0</v>
      </c>
      <c r="O648" s="1335"/>
      <c r="P648" s="1315"/>
      <c r="Q648" s="1315"/>
      <c r="R648" s="1315"/>
      <c r="S648" s="1315"/>
      <c r="T648" s="1315"/>
      <c r="U648" s="1315"/>
    </row>
    <row r="649" spans="2:21">
      <c r="B649" s="1946"/>
      <c r="C649" s="1946"/>
      <c r="D649" s="1946"/>
      <c r="E649" s="1946"/>
      <c r="F649" s="1946"/>
      <c r="G649" s="1947"/>
      <c r="H649" s="1948"/>
      <c r="I649" s="1949"/>
      <c r="J649" s="1329">
        <f t="shared" si="218"/>
        <v>0</v>
      </c>
      <c r="K649" s="1329">
        <f t="shared" si="219"/>
        <v>0</v>
      </c>
      <c r="L649" s="1329"/>
      <c r="M649" s="1335">
        <f t="shared" si="220"/>
        <v>0</v>
      </c>
      <c r="N649" s="1335">
        <f t="shared" si="187"/>
        <v>0</v>
      </c>
      <c r="O649" s="1335"/>
      <c r="P649" s="1315"/>
      <c r="Q649" s="1315"/>
      <c r="R649" s="1315"/>
      <c r="S649" s="1315"/>
      <c r="T649" s="1315"/>
      <c r="U649" s="1315"/>
    </row>
    <row r="650" spans="2:21">
      <c r="B650" s="1946"/>
      <c r="C650" s="1946"/>
      <c r="D650" s="1946"/>
      <c r="E650" s="1946"/>
      <c r="F650" s="1946"/>
      <c r="G650" s="1947"/>
      <c r="H650" s="1948"/>
      <c r="I650" s="1949"/>
      <c r="J650" s="1329">
        <f t="shared" si="218"/>
        <v>0</v>
      </c>
      <c r="K650" s="1329">
        <f t="shared" si="219"/>
        <v>0</v>
      </c>
      <c r="L650" s="1329"/>
      <c r="M650" s="1335">
        <f t="shared" si="220"/>
        <v>0</v>
      </c>
      <c r="N650" s="1335">
        <f t="shared" si="187"/>
        <v>0</v>
      </c>
      <c r="O650" s="1335"/>
      <c r="P650" s="1315"/>
      <c r="Q650" s="1315"/>
      <c r="R650" s="1315"/>
      <c r="S650" s="1315"/>
      <c r="T650" s="1315"/>
      <c r="U650" s="1315"/>
    </row>
    <row r="651" spans="2:21">
      <c r="B651" s="1946"/>
      <c r="C651" s="1946"/>
      <c r="D651" s="1946"/>
      <c r="E651" s="1946"/>
      <c r="F651" s="1946"/>
      <c r="G651" s="1947"/>
      <c r="H651" s="1948"/>
      <c r="I651" s="1949"/>
      <c r="J651" s="1329">
        <f t="shared" si="218"/>
        <v>0</v>
      </c>
      <c r="K651" s="1329">
        <f t="shared" si="219"/>
        <v>0</v>
      </c>
      <c r="L651" s="1329"/>
      <c r="M651" s="1335">
        <f t="shared" si="220"/>
        <v>0</v>
      </c>
      <c r="N651" s="1335">
        <f t="shared" si="187"/>
        <v>0</v>
      </c>
      <c r="O651" s="1335"/>
      <c r="P651" s="1315"/>
      <c r="Q651" s="1315"/>
      <c r="R651" s="1315"/>
      <c r="S651" s="1315"/>
      <c r="T651" s="1315"/>
      <c r="U651" s="1315"/>
    </row>
    <row r="652" spans="2:21">
      <c r="B652" s="1946"/>
      <c r="C652" s="1946"/>
      <c r="D652" s="1946"/>
      <c r="E652" s="1946"/>
      <c r="F652" s="1946"/>
      <c r="G652" s="1947"/>
      <c r="H652" s="1948"/>
      <c r="I652" s="1949"/>
      <c r="J652" s="1329">
        <f>IF(G652&gt;=0,0,"C60&gt;=0")</f>
        <v>0</v>
      </c>
      <c r="K652" s="1329">
        <f>IF(H652&gt;=0,0,"C70&gt;=0")</f>
        <v>0</v>
      </c>
      <c r="L652" s="1329"/>
      <c r="M652" s="1335">
        <f>IF(G652&lt;=1,0,"c60&lt;=1")</f>
        <v>0</v>
      </c>
      <c r="N652" s="1335">
        <f>IF(($G652*100)&gt;100,"C60 Invalid value greater than 100",IF(($G652*100)&lt;&gt;ROUND(($G652*100),2),($G652*100)&amp;": C60 Invalid no. of decimals",0))</f>
        <v>0</v>
      </c>
      <c r="O652" s="1335"/>
      <c r="P652" s="1315"/>
      <c r="Q652" s="1315"/>
      <c r="R652" s="1315"/>
      <c r="S652" s="1315"/>
      <c r="T652" s="1315"/>
      <c r="U652" s="1315"/>
    </row>
    <row r="653" spans="2:21">
      <c r="B653" s="1946"/>
      <c r="C653" s="1946"/>
      <c r="D653" s="1946"/>
      <c r="E653" s="1946"/>
      <c r="F653" s="1946"/>
      <c r="G653" s="1947"/>
      <c r="H653" s="1948"/>
      <c r="I653" s="1949"/>
      <c r="J653" s="1329">
        <f t="shared" ref="J653:J656" si="221">IF(G653&gt;=0,0,"C60&gt;=0")</f>
        <v>0</v>
      </c>
      <c r="K653" s="1329">
        <f t="shared" ref="K653:K656" si="222">IF(H653&gt;=0,0,"C70&gt;=0")</f>
        <v>0</v>
      </c>
      <c r="L653" s="1329"/>
      <c r="M653" s="1335">
        <f t="shared" ref="M653:M656" si="223">IF(G653&lt;=1,0,"c60&lt;=1")</f>
        <v>0</v>
      </c>
      <c r="N653" s="1335">
        <f t="shared" si="187"/>
        <v>0</v>
      </c>
      <c r="O653" s="1335"/>
      <c r="P653" s="1315"/>
      <c r="Q653" s="1315"/>
      <c r="R653" s="1315"/>
      <c r="S653" s="1315"/>
      <c r="T653" s="1315"/>
      <c r="U653" s="1315"/>
    </row>
    <row r="654" spans="2:21">
      <c r="B654" s="1946"/>
      <c r="C654" s="1946"/>
      <c r="D654" s="1946"/>
      <c r="E654" s="1946"/>
      <c r="F654" s="1946"/>
      <c r="G654" s="1947"/>
      <c r="H654" s="1948"/>
      <c r="I654" s="1949"/>
      <c r="J654" s="1329">
        <f t="shared" si="221"/>
        <v>0</v>
      </c>
      <c r="K654" s="1329">
        <f t="shared" si="222"/>
        <v>0</v>
      </c>
      <c r="L654" s="1329"/>
      <c r="M654" s="1335">
        <f t="shared" si="223"/>
        <v>0</v>
      </c>
      <c r="N654" s="1335">
        <f t="shared" si="187"/>
        <v>0</v>
      </c>
      <c r="O654" s="1335"/>
      <c r="P654" s="1315"/>
      <c r="Q654" s="1315"/>
      <c r="R654" s="1315"/>
      <c r="S654" s="1315"/>
      <c r="T654" s="1315"/>
      <c r="U654" s="1315"/>
    </row>
    <row r="655" spans="2:21">
      <c r="B655" s="1946"/>
      <c r="C655" s="1946"/>
      <c r="D655" s="1946"/>
      <c r="E655" s="1946"/>
      <c r="F655" s="1946"/>
      <c r="G655" s="1947"/>
      <c r="H655" s="1948"/>
      <c r="I655" s="1949"/>
      <c r="J655" s="1329">
        <f t="shared" si="221"/>
        <v>0</v>
      </c>
      <c r="K655" s="1329">
        <f t="shared" si="222"/>
        <v>0</v>
      </c>
      <c r="L655" s="1329"/>
      <c r="M655" s="1335">
        <f t="shared" si="223"/>
        <v>0</v>
      </c>
      <c r="N655" s="1335">
        <f t="shared" si="187"/>
        <v>0</v>
      </c>
      <c r="O655" s="1335"/>
      <c r="P655" s="1315"/>
      <c r="Q655" s="1315"/>
      <c r="R655" s="1315"/>
      <c r="S655" s="1315"/>
      <c r="T655" s="1315"/>
      <c r="U655" s="1315"/>
    </row>
    <row r="656" spans="2:21">
      <c r="B656" s="1946"/>
      <c r="C656" s="1946"/>
      <c r="D656" s="1946"/>
      <c r="E656" s="1946"/>
      <c r="F656" s="1946"/>
      <c r="G656" s="1947"/>
      <c r="H656" s="1948"/>
      <c r="I656" s="1949"/>
      <c r="J656" s="1329">
        <f t="shared" si="221"/>
        <v>0</v>
      </c>
      <c r="K656" s="1329">
        <f t="shared" si="222"/>
        <v>0</v>
      </c>
      <c r="L656" s="1329"/>
      <c r="M656" s="1335">
        <f t="shared" si="223"/>
        <v>0</v>
      </c>
      <c r="N656" s="1335">
        <f t="shared" si="187"/>
        <v>0</v>
      </c>
      <c r="O656" s="1335"/>
      <c r="P656" s="1315"/>
      <c r="Q656" s="1315"/>
      <c r="R656" s="1315"/>
      <c r="S656" s="1315"/>
      <c r="T656" s="1315"/>
      <c r="U656" s="1315"/>
    </row>
    <row r="657" spans="2:21">
      <c r="B657" s="1946"/>
      <c r="C657" s="1946"/>
      <c r="D657" s="1946"/>
      <c r="E657" s="1946"/>
      <c r="F657" s="1946"/>
      <c r="G657" s="1947"/>
      <c r="H657" s="1948"/>
      <c r="I657" s="1949"/>
      <c r="J657" s="1329">
        <f>IF(G657&gt;=0,0,"C60&gt;=0")</f>
        <v>0</v>
      </c>
      <c r="K657" s="1329">
        <f>IF(H657&gt;=0,0,"C70&gt;=0")</f>
        <v>0</v>
      </c>
      <c r="L657" s="1329"/>
      <c r="M657" s="1335">
        <f>IF(G657&lt;=1,0,"c60&lt;=1")</f>
        <v>0</v>
      </c>
      <c r="N657" s="1335">
        <f>IF(($G657*100)&gt;100,"C60 Invalid value greater than 100",IF(($G657*100)&lt;&gt;ROUND(($G657*100),2),($G657*100)&amp;": C60 Invalid no. of decimals",0))</f>
        <v>0</v>
      </c>
      <c r="O657" s="1335"/>
      <c r="P657" s="1315"/>
      <c r="Q657" s="1315"/>
      <c r="R657" s="1315"/>
      <c r="S657" s="1315"/>
      <c r="T657" s="1315"/>
      <c r="U657" s="1315"/>
    </row>
    <row r="658" spans="2:21">
      <c r="B658" s="1946"/>
      <c r="C658" s="1946"/>
      <c r="D658" s="1946"/>
      <c r="E658" s="1946"/>
      <c r="F658" s="1946"/>
      <c r="G658" s="1947"/>
      <c r="H658" s="1948"/>
      <c r="I658" s="1949"/>
      <c r="J658" s="1329">
        <f t="shared" ref="J658:J661" si="224">IF(G658&gt;=0,0,"C60&gt;=0")</f>
        <v>0</v>
      </c>
      <c r="K658" s="1329">
        <f t="shared" ref="K658:K661" si="225">IF(H658&gt;=0,0,"C70&gt;=0")</f>
        <v>0</v>
      </c>
      <c r="L658" s="1329"/>
      <c r="M658" s="1335">
        <f t="shared" ref="M658:M661" si="226">IF(G658&lt;=1,0,"c60&lt;=1")</f>
        <v>0</v>
      </c>
      <c r="N658" s="1335">
        <f t="shared" ref="N658:N671" si="227">IF(($G658*100)&gt;100,"C60 Invalid value greater than 100",IF(($G658*100)&lt;&gt;ROUND(($G658*100),2),($G658*100)&amp;": C60 Invalid no. of decimals",0))</f>
        <v>0</v>
      </c>
      <c r="O658" s="1335"/>
      <c r="P658" s="1315"/>
      <c r="Q658" s="1315"/>
      <c r="R658" s="1315"/>
      <c r="S658" s="1315"/>
      <c r="T658" s="1315"/>
      <c r="U658" s="1315"/>
    </row>
    <row r="659" spans="2:21">
      <c r="B659" s="1946"/>
      <c r="C659" s="1946"/>
      <c r="D659" s="1946"/>
      <c r="E659" s="1946"/>
      <c r="F659" s="1946"/>
      <c r="G659" s="1947"/>
      <c r="H659" s="1948"/>
      <c r="I659" s="1949"/>
      <c r="J659" s="1329">
        <f t="shared" si="224"/>
        <v>0</v>
      </c>
      <c r="K659" s="1329">
        <f t="shared" si="225"/>
        <v>0</v>
      </c>
      <c r="L659" s="1329"/>
      <c r="M659" s="1335">
        <f t="shared" si="226"/>
        <v>0</v>
      </c>
      <c r="N659" s="1335">
        <f t="shared" si="227"/>
        <v>0</v>
      </c>
      <c r="O659" s="1335"/>
      <c r="P659" s="1315"/>
      <c r="Q659" s="1315"/>
      <c r="R659" s="1315"/>
      <c r="S659" s="1315"/>
      <c r="T659" s="1315"/>
      <c r="U659" s="1315"/>
    </row>
    <row r="660" spans="2:21">
      <c r="B660" s="1946"/>
      <c r="C660" s="1946"/>
      <c r="D660" s="1946"/>
      <c r="E660" s="1946"/>
      <c r="F660" s="1946"/>
      <c r="G660" s="1947"/>
      <c r="H660" s="1948"/>
      <c r="I660" s="1949"/>
      <c r="J660" s="1329">
        <f t="shared" si="224"/>
        <v>0</v>
      </c>
      <c r="K660" s="1329">
        <f t="shared" si="225"/>
        <v>0</v>
      </c>
      <c r="L660" s="1329"/>
      <c r="M660" s="1335">
        <f t="shared" si="226"/>
        <v>0</v>
      </c>
      <c r="N660" s="1335">
        <f t="shared" si="227"/>
        <v>0</v>
      </c>
      <c r="O660" s="1335"/>
      <c r="P660" s="1315"/>
      <c r="Q660" s="1315"/>
      <c r="R660" s="1315"/>
      <c r="S660" s="1315"/>
      <c r="T660" s="1315"/>
      <c r="U660" s="1315"/>
    </row>
    <row r="661" spans="2:21">
      <c r="B661" s="1946"/>
      <c r="C661" s="1946"/>
      <c r="D661" s="1946"/>
      <c r="E661" s="1946"/>
      <c r="F661" s="1946"/>
      <c r="G661" s="1947"/>
      <c r="H661" s="1948"/>
      <c r="I661" s="1949"/>
      <c r="J661" s="1329">
        <f t="shared" si="224"/>
        <v>0</v>
      </c>
      <c r="K661" s="1329">
        <f t="shared" si="225"/>
        <v>0</v>
      </c>
      <c r="L661" s="1329"/>
      <c r="M661" s="1335">
        <f t="shared" si="226"/>
        <v>0</v>
      </c>
      <c r="N661" s="1335">
        <f t="shared" si="227"/>
        <v>0</v>
      </c>
      <c r="O661" s="1335"/>
      <c r="P661" s="1315"/>
      <c r="Q661" s="1315"/>
      <c r="R661" s="1315"/>
      <c r="S661" s="1315"/>
      <c r="T661" s="1315"/>
      <c r="U661" s="1315"/>
    </row>
    <row r="662" spans="2:21">
      <c r="B662" s="1946"/>
      <c r="C662" s="1946"/>
      <c r="D662" s="1946"/>
      <c r="E662" s="1946"/>
      <c r="F662" s="1946"/>
      <c r="G662" s="1947"/>
      <c r="H662" s="1948"/>
      <c r="I662" s="1949"/>
      <c r="J662" s="1329">
        <f>IF(G662&gt;=0,0,"C60&gt;=0")</f>
        <v>0</v>
      </c>
      <c r="K662" s="1329">
        <f>IF(H662&gt;=0,0,"C70&gt;=0")</f>
        <v>0</v>
      </c>
      <c r="L662" s="1329"/>
      <c r="M662" s="1335">
        <f>IF(G662&lt;=1,0,"c60&lt;=1")</f>
        <v>0</v>
      </c>
      <c r="N662" s="1335">
        <f>IF(($G662*100)&gt;100,"C60 Invalid value greater than 100",IF(($G662*100)&lt;&gt;ROUND(($G662*100),2),($G662*100)&amp;": C60 Invalid no. of decimals",0))</f>
        <v>0</v>
      </c>
      <c r="O662" s="1335"/>
      <c r="P662" s="1315"/>
      <c r="Q662" s="1315"/>
      <c r="R662" s="1315"/>
      <c r="S662" s="1315"/>
      <c r="T662" s="1315"/>
      <c r="U662" s="1315"/>
    </row>
    <row r="663" spans="2:21">
      <c r="B663" s="1946"/>
      <c r="C663" s="1946"/>
      <c r="D663" s="1946"/>
      <c r="E663" s="1946"/>
      <c r="F663" s="1946"/>
      <c r="G663" s="1947"/>
      <c r="H663" s="1948"/>
      <c r="I663" s="1949"/>
      <c r="J663" s="1329">
        <f t="shared" ref="J663:J666" si="228">IF(G663&gt;=0,0,"C60&gt;=0")</f>
        <v>0</v>
      </c>
      <c r="K663" s="1329">
        <f t="shared" ref="K663:K666" si="229">IF(H663&gt;=0,0,"C70&gt;=0")</f>
        <v>0</v>
      </c>
      <c r="L663" s="1329"/>
      <c r="M663" s="1335">
        <f t="shared" ref="M663:M666" si="230">IF(G663&lt;=1,0,"c60&lt;=1")</f>
        <v>0</v>
      </c>
      <c r="N663" s="1335">
        <f t="shared" si="227"/>
        <v>0</v>
      </c>
      <c r="O663" s="1335"/>
      <c r="P663" s="1315"/>
      <c r="Q663" s="1315"/>
      <c r="R663" s="1315"/>
      <c r="S663" s="1315"/>
      <c r="T663" s="1315"/>
      <c r="U663" s="1315"/>
    </row>
    <row r="664" spans="2:21">
      <c r="B664" s="1946"/>
      <c r="C664" s="1946"/>
      <c r="D664" s="1946"/>
      <c r="E664" s="1946"/>
      <c r="F664" s="1946"/>
      <c r="G664" s="1947"/>
      <c r="H664" s="1948"/>
      <c r="I664" s="1949"/>
      <c r="J664" s="1329">
        <f t="shared" si="228"/>
        <v>0</v>
      </c>
      <c r="K664" s="1329">
        <f t="shared" si="229"/>
        <v>0</v>
      </c>
      <c r="L664" s="1329"/>
      <c r="M664" s="1335">
        <f t="shared" si="230"/>
        <v>0</v>
      </c>
      <c r="N664" s="1335">
        <f t="shared" si="227"/>
        <v>0</v>
      </c>
      <c r="O664" s="1335"/>
      <c r="P664" s="1315"/>
      <c r="Q664" s="1315"/>
      <c r="R664" s="1315"/>
      <c r="S664" s="1315"/>
      <c r="T664" s="1315"/>
      <c r="U664" s="1315"/>
    </row>
    <row r="665" spans="2:21">
      <c r="B665" s="1946"/>
      <c r="C665" s="1946"/>
      <c r="D665" s="1946"/>
      <c r="E665" s="1946"/>
      <c r="F665" s="1946"/>
      <c r="G665" s="1947"/>
      <c r="H665" s="1948"/>
      <c r="I665" s="1949"/>
      <c r="J665" s="1329">
        <f t="shared" si="228"/>
        <v>0</v>
      </c>
      <c r="K665" s="1329">
        <f t="shared" si="229"/>
        <v>0</v>
      </c>
      <c r="L665" s="1329"/>
      <c r="M665" s="1335">
        <f t="shared" si="230"/>
        <v>0</v>
      </c>
      <c r="N665" s="1335">
        <f t="shared" si="227"/>
        <v>0</v>
      </c>
      <c r="O665" s="1335"/>
      <c r="P665" s="1315"/>
      <c r="Q665" s="1315"/>
      <c r="R665" s="1315"/>
      <c r="S665" s="1315"/>
      <c r="T665" s="1315"/>
      <c r="U665" s="1315"/>
    </row>
    <row r="666" spans="2:21">
      <c r="B666" s="1946"/>
      <c r="C666" s="1946"/>
      <c r="D666" s="1946"/>
      <c r="E666" s="1946"/>
      <c r="F666" s="1946"/>
      <c r="G666" s="1947"/>
      <c r="H666" s="1948"/>
      <c r="I666" s="1949"/>
      <c r="J666" s="1329">
        <f t="shared" si="228"/>
        <v>0</v>
      </c>
      <c r="K666" s="1329">
        <f t="shared" si="229"/>
        <v>0</v>
      </c>
      <c r="L666" s="1329"/>
      <c r="M666" s="1335">
        <f t="shared" si="230"/>
        <v>0</v>
      </c>
      <c r="N666" s="1335">
        <f t="shared" si="227"/>
        <v>0</v>
      </c>
      <c r="O666" s="1335"/>
      <c r="P666" s="1315"/>
      <c r="Q666" s="1315"/>
      <c r="R666" s="1315"/>
      <c r="S666" s="1315"/>
      <c r="T666" s="1315"/>
      <c r="U666" s="1315"/>
    </row>
    <row r="667" spans="2:21">
      <c r="B667" s="1946"/>
      <c r="C667" s="1946"/>
      <c r="D667" s="1946"/>
      <c r="E667" s="1946"/>
      <c r="F667" s="1946"/>
      <c r="G667" s="1947"/>
      <c r="H667" s="1948"/>
      <c r="I667" s="1949"/>
      <c r="J667" s="1329">
        <f>IF(G667&gt;=0,0,"C60&gt;=0")</f>
        <v>0</v>
      </c>
      <c r="K667" s="1329">
        <f>IF(H667&gt;=0,0,"C70&gt;=0")</f>
        <v>0</v>
      </c>
      <c r="L667" s="1329"/>
      <c r="M667" s="1335">
        <f>IF(G667&lt;=1,0,"c60&lt;=1")</f>
        <v>0</v>
      </c>
      <c r="N667" s="1335">
        <f>IF(($G667*100)&gt;100,"C60 Invalid value greater than 100",IF(($G667*100)&lt;&gt;ROUND(($G667*100),2),($G667*100)&amp;": C60 Invalid no. of decimals",0))</f>
        <v>0</v>
      </c>
      <c r="O667" s="1335"/>
      <c r="P667" s="1315"/>
      <c r="Q667" s="1315"/>
      <c r="R667" s="1315"/>
      <c r="S667" s="1315"/>
      <c r="T667" s="1315"/>
      <c r="U667" s="1315"/>
    </row>
    <row r="668" spans="2:21">
      <c r="B668" s="1946"/>
      <c r="C668" s="1946"/>
      <c r="D668" s="1946"/>
      <c r="E668" s="1946"/>
      <c r="F668" s="1946"/>
      <c r="G668" s="1947"/>
      <c r="H668" s="1948"/>
      <c r="I668" s="1949"/>
      <c r="J668" s="1329">
        <f t="shared" ref="J668:J671" si="231">IF(G668&gt;=0,0,"C60&gt;=0")</f>
        <v>0</v>
      </c>
      <c r="K668" s="1329">
        <f t="shared" ref="K668:K671" si="232">IF(H668&gt;=0,0,"C70&gt;=0")</f>
        <v>0</v>
      </c>
      <c r="L668" s="1329"/>
      <c r="M668" s="1335">
        <f t="shared" ref="M668:M671" si="233">IF(G668&lt;=1,0,"c60&lt;=1")</f>
        <v>0</v>
      </c>
      <c r="N668" s="1335">
        <f t="shared" si="227"/>
        <v>0</v>
      </c>
      <c r="O668" s="1335"/>
      <c r="P668" s="1315"/>
      <c r="Q668" s="1315"/>
      <c r="R668" s="1315"/>
      <c r="S668" s="1315"/>
      <c r="T668" s="1315"/>
      <c r="U668" s="1315"/>
    </row>
    <row r="669" spans="2:21">
      <c r="B669" s="1946"/>
      <c r="C669" s="1946"/>
      <c r="D669" s="1946"/>
      <c r="E669" s="1946"/>
      <c r="F669" s="1946"/>
      <c r="G669" s="1947"/>
      <c r="H669" s="1948"/>
      <c r="I669" s="1949"/>
      <c r="J669" s="1329">
        <f t="shared" si="231"/>
        <v>0</v>
      </c>
      <c r="K669" s="1329">
        <f t="shared" si="232"/>
        <v>0</v>
      </c>
      <c r="L669" s="1329"/>
      <c r="M669" s="1335">
        <f t="shared" si="233"/>
        <v>0</v>
      </c>
      <c r="N669" s="1335">
        <f t="shared" si="227"/>
        <v>0</v>
      </c>
      <c r="O669" s="1335"/>
      <c r="P669" s="1315"/>
      <c r="Q669" s="1315"/>
      <c r="R669" s="1315"/>
      <c r="S669" s="1315"/>
      <c r="T669" s="1315"/>
      <c r="U669" s="1315"/>
    </row>
    <row r="670" spans="2:21">
      <c r="B670" s="1946"/>
      <c r="C670" s="1946"/>
      <c r="D670" s="1946"/>
      <c r="E670" s="1946"/>
      <c r="F670" s="1946"/>
      <c r="G670" s="1947"/>
      <c r="H670" s="1948"/>
      <c r="I670" s="1949"/>
      <c r="J670" s="1329">
        <f t="shared" si="231"/>
        <v>0</v>
      </c>
      <c r="K670" s="1329">
        <f t="shared" si="232"/>
        <v>0</v>
      </c>
      <c r="L670" s="1329"/>
      <c r="M670" s="1335">
        <f t="shared" si="233"/>
        <v>0</v>
      </c>
      <c r="N670" s="1335">
        <f t="shared" si="227"/>
        <v>0</v>
      </c>
      <c r="O670" s="1335"/>
      <c r="P670" s="1315"/>
      <c r="Q670" s="1315"/>
      <c r="R670" s="1315"/>
      <c r="S670" s="1315"/>
      <c r="T670" s="1315"/>
      <c r="U670" s="1315"/>
    </row>
    <row r="671" spans="2:21">
      <c r="B671" s="1946"/>
      <c r="C671" s="1946"/>
      <c r="D671" s="1946"/>
      <c r="E671" s="1946"/>
      <c r="F671" s="1946"/>
      <c r="G671" s="1947"/>
      <c r="H671" s="1948"/>
      <c r="I671" s="1949"/>
      <c r="J671" s="1329">
        <f t="shared" si="231"/>
        <v>0</v>
      </c>
      <c r="K671" s="1329">
        <f t="shared" si="232"/>
        <v>0</v>
      </c>
      <c r="L671" s="1329"/>
      <c r="M671" s="1335">
        <f t="shared" si="233"/>
        <v>0</v>
      </c>
      <c r="N671" s="1335">
        <f t="shared" si="227"/>
        <v>0</v>
      </c>
      <c r="O671" s="1335"/>
      <c r="P671" s="1315"/>
      <c r="Q671" s="1315"/>
      <c r="R671" s="1315"/>
      <c r="S671" s="1315"/>
      <c r="T671" s="1315"/>
      <c r="U671" s="1315"/>
    </row>
    <row r="672" spans="2:21">
      <c r="B672" s="1946"/>
      <c r="C672" s="1946"/>
      <c r="D672" s="1946"/>
      <c r="E672" s="1946"/>
      <c r="F672" s="1946"/>
      <c r="G672" s="1947"/>
      <c r="H672" s="1948"/>
      <c r="I672" s="1949"/>
      <c r="J672" s="1329">
        <f>IF(G672&gt;=0,0,"C60&gt;=0")</f>
        <v>0</v>
      </c>
      <c r="K672" s="1329">
        <f>IF(H672&gt;=0,0,"C70&gt;=0")</f>
        <v>0</v>
      </c>
      <c r="L672" s="1329"/>
      <c r="M672" s="1335">
        <f>IF(G672&lt;=1,0,"c60&lt;=1")</f>
        <v>0</v>
      </c>
      <c r="N672" s="1335">
        <f>IF(($G672*100)&gt;100,"C60 Invalid value greater than 100",IF(($G672*100)&lt;&gt;ROUND(($G672*100),2),($G672*100)&amp;": C60 Invalid no. of decimals",0))</f>
        <v>0</v>
      </c>
      <c r="O672" s="1335"/>
      <c r="P672" s="1315"/>
      <c r="Q672" s="1315"/>
      <c r="R672" s="1315"/>
      <c r="S672" s="1315"/>
      <c r="T672" s="1315"/>
      <c r="U672" s="1315"/>
    </row>
    <row r="673" spans="2:21">
      <c r="B673" s="1946"/>
      <c r="C673" s="1946"/>
      <c r="D673" s="1946"/>
      <c r="E673" s="1946"/>
      <c r="F673" s="1946"/>
      <c r="G673" s="1947"/>
      <c r="H673" s="1948"/>
      <c r="I673" s="1949"/>
      <c r="J673" s="1329">
        <f t="shared" ref="J673:J676" si="234">IF(G673&gt;=0,0,"C60&gt;=0")</f>
        <v>0</v>
      </c>
      <c r="K673" s="1329">
        <f t="shared" ref="K673:K676" si="235">IF(H673&gt;=0,0,"C70&gt;=0")</f>
        <v>0</v>
      </c>
      <c r="L673" s="1329"/>
      <c r="M673" s="1335">
        <f t="shared" ref="M673:M676" si="236">IF(G673&lt;=1,0,"c60&lt;=1")</f>
        <v>0</v>
      </c>
      <c r="N673" s="1335">
        <f t="shared" ref="N673:N736" si="237">IF(($G673*100)&gt;100,"C60 Invalid value greater than 100",IF(($G673*100)&lt;&gt;ROUND(($G673*100),2),($G673*100)&amp;": C60 Invalid no. of decimals",0))</f>
        <v>0</v>
      </c>
      <c r="O673" s="1335"/>
      <c r="P673" s="1315"/>
      <c r="Q673" s="1315"/>
      <c r="R673" s="1315"/>
      <c r="S673" s="1315"/>
      <c r="T673" s="1315"/>
      <c r="U673" s="1315"/>
    </row>
    <row r="674" spans="2:21">
      <c r="B674" s="1946"/>
      <c r="C674" s="1946"/>
      <c r="D674" s="1946"/>
      <c r="E674" s="1946"/>
      <c r="F674" s="1946"/>
      <c r="G674" s="1947"/>
      <c r="H674" s="1948"/>
      <c r="I674" s="1949"/>
      <c r="J674" s="1329">
        <f t="shared" si="234"/>
        <v>0</v>
      </c>
      <c r="K674" s="1329">
        <f t="shared" si="235"/>
        <v>0</v>
      </c>
      <c r="L674" s="1329"/>
      <c r="M674" s="1335">
        <f t="shared" si="236"/>
        <v>0</v>
      </c>
      <c r="N674" s="1335">
        <f t="shared" si="237"/>
        <v>0</v>
      </c>
      <c r="O674" s="1335"/>
      <c r="P674" s="1315"/>
      <c r="Q674" s="1315"/>
      <c r="R674" s="1315"/>
      <c r="S674" s="1315"/>
      <c r="T674" s="1315"/>
      <c r="U674" s="1315"/>
    </row>
    <row r="675" spans="2:21">
      <c r="B675" s="1946"/>
      <c r="C675" s="1946"/>
      <c r="D675" s="1946"/>
      <c r="E675" s="1946"/>
      <c r="F675" s="1946"/>
      <c r="G675" s="1947"/>
      <c r="H675" s="1948"/>
      <c r="I675" s="1949"/>
      <c r="J675" s="1329">
        <f t="shared" si="234"/>
        <v>0</v>
      </c>
      <c r="K675" s="1329">
        <f t="shared" si="235"/>
        <v>0</v>
      </c>
      <c r="L675" s="1329"/>
      <c r="M675" s="1335">
        <f t="shared" si="236"/>
        <v>0</v>
      </c>
      <c r="N675" s="1335">
        <f t="shared" si="237"/>
        <v>0</v>
      </c>
      <c r="O675" s="1335"/>
      <c r="P675" s="1315"/>
      <c r="Q675" s="1315"/>
      <c r="R675" s="1315"/>
      <c r="S675" s="1315"/>
      <c r="T675" s="1315"/>
      <c r="U675" s="1315"/>
    </row>
    <row r="676" spans="2:21">
      <c r="B676" s="1946"/>
      <c r="C676" s="1946"/>
      <c r="D676" s="1946"/>
      <c r="E676" s="1946"/>
      <c r="F676" s="1946"/>
      <c r="G676" s="1947"/>
      <c r="H676" s="1948"/>
      <c r="I676" s="1949"/>
      <c r="J676" s="1329">
        <f t="shared" si="234"/>
        <v>0</v>
      </c>
      <c r="K676" s="1329">
        <f t="shared" si="235"/>
        <v>0</v>
      </c>
      <c r="L676" s="1329"/>
      <c r="M676" s="1335">
        <f t="shared" si="236"/>
        <v>0</v>
      </c>
      <c r="N676" s="1335">
        <f t="shared" si="237"/>
        <v>0</v>
      </c>
      <c r="O676" s="1335"/>
      <c r="P676" s="1315"/>
      <c r="Q676" s="1315"/>
      <c r="R676" s="1315"/>
      <c r="S676" s="1315"/>
      <c r="T676" s="1315"/>
      <c r="U676" s="1315"/>
    </row>
    <row r="677" spans="2:21">
      <c r="B677" s="1946"/>
      <c r="C677" s="1946"/>
      <c r="D677" s="1946"/>
      <c r="E677" s="1946"/>
      <c r="F677" s="1946"/>
      <c r="G677" s="1947"/>
      <c r="H677" s="1948"/>
      <c r="I677" s="1949"/>
      <c r="J677" s="1329">
        <f>IF(G677&gt;=0,0,"C60&gt;=0")</f>
        <v>0</v>
      </c>
      <c r="K677" s="1329">
        <f>IF(H677&gt;=0,0,"C70&gt;=0")</f>
        <v>0</v>
      </c>
      <c r="L677" s="1329"/>
      <c r="M677" s="1335">
        <f>IF(G677&lt;=1,0,"c60&lt;=1")</f>
        <v>0</v>
      </c>
      <c r="N677" s="1335">
        <f>IF(($G677*100)&gt;100,"C60 Invalid value greater than 100",IF(($G677*100)&lt;&gt;ROUND(($G677*100),2),($G677*100)&amp;": C60 Invalid no. of decimals",0))</f>
        <v>0</v>
      </c>
      <c r="O677" s="1335"/>
      <c r="P677" s="1315"/>
      <c r="Q677" s="1315"/>
      <c r="R677" s="1315"/>
      <c r="S677" s="1315"/>
      <c r="T677" s="1315"/>
      <c r="U677" s="1315"/>
    </row>
    <row r="678" spans="2:21">
      <c r="B678" s="1946"/>
      <c r="C678" s="1946"/>
      <c r="D678" s="1946"/>
      <c r="E678" s="1946"/>
      <c r="F678" s="1946"/>
      <c r="G678" s="1947"/>
      <c r="H678" s="1948"/>
      <c r="I678" s="1949"/>
      <c r="J678" s="1329">
        <f t="shared" ref="J678:J681" si="238">IF(G678&gt;=0,0,"C60&gt;=0")</f>
        <v>0</v>
      </c>
      <c r="K678" s="1329">
        <f t="shared" ref="K678:K681" si="239">IF(H678&gt;=0,0,"C70&gt;=0")</f>
        <v>0</v>
      </c>
      <c r="L678" s="1329"/>
      <c r="M678" s="1335">
        <f t="shared" ref="M678:M681" si="240">IF(G678&lt;=1,0,"c60&lt;=1")</f>
        <v>0</v>
      </c>
      <c r="N678" s="1335">
        <f t="shared" si="237"/>
        <v>0</v>
      </c>
      <c r="O678" s="1335"/>
      <c r="P678" s="1315"/>
      <c r="Q678" s="1315"/>
      <c r="R678" s="1315"/>
      <c r="S678" s="1315"/>
      <c r="T678" s="1315"/>
      <c r="U678" s="1315"/>
    </row>
    <row r="679" spans="2:21">
      <c r="B679" s="1946"/>
      <c r="C679" s="1946"/>
      <c r="D679" s="1946"/>
      <c r="E679" s="1946"/>
      <c r="F679" s="1946"/>
      <c r="G679" s="1947"/>
      <c r="H679" s="1948"/>
      <c r="I679" s="1949"/>
      <c r="J679" s="1329">
        <f t="shared" si="238"/>
        <v>0</v>
      </c>
      <c r="K679" s="1329">
        <f t="shared" si="239"/>
        <v>0</v>
      </c>
      <c r="L679" s="1329"/>
      <c r="M679" s="1335">
        <f t="shared" si="240"/>
        <v>0</v>
      </c>
      <c r="N679" s="1335">
        <f t="shared" si="237"/>
        <v>0</v>
      </c>
      <c r="O679" s="1335"/>
      <c r="P679" s="1315"/>
      <c r="Q679" s="1315"/>
      <c r="R679" s="1315"/>
      <c r="S679" s="1315"/>
      <c r="T679" s="1315"/>
      <c r="U679" s="1315"/>
    </row>
    <row r="680" spans="2:21">
      <c r="B680" s="1946"/>
      <c r="C680" s="1946"/>
      <c r="D680" s="1946"/>
      <c r="E680" s="1946"/>
      <c r="F680" s="1946"/>
      <c r="G680" s="1947"/>
      <c r="H680" s="1948"/>
      <c r="I680" s="1949"/>
      <c r="J680" s="1329">
        <f t="shared" si="238"/>
        <v>0</v>
      </c>
      <c r="K680" s="1329">
        <f t="shared" si="239"/>
        <v>0</v>
      </c>
      <c r="L680" s="1329"/>
      <c r="M680" s="1335">
        <f t="shared" si="240"/>
        <v>0</v>
      </c>
      <c r="N680" s="1335">
        <f t="shared" si="237"/>
        <v>0</v>
      </c>
      <c r="O680" s="1335"/>
      <c r="P680" s="1315"/>
      <c r="Q680" s="1315"/>
      <c r="R680" s="1315"/>
      <c r="S680" s="1315"/>
      <c r="T680" s="1315"/>
      <c r="U680" s="1315"/>
    </row>
    <row r="681" spans="2:21">
      <c r="B681" s="1946"/>
      <c r="C681" s="1946"/>
      <c r="D681" s="1946"/>
      <c r="E681" s="1946"/>
      <c r="F681" s="1946"/>
      <c r="G681" s="1947"/>
      <c r="H681" s="1948"/>
      <c r="I681" s="1949"/>
      <c r="J681" s="1329">
        <f t="shared" si="238"/>
        <v>0</v>
      </c>
      <c r="K681" s="1329">
        <f t="shared" si="239"/>
        <v>0</v>
      </c>
      <c r="L681" s="1329"/>
      <c r="M681" s="1335">
        <f t="shared" si="240"/>
        <v>0</v>
      </c>
      <c r="N681" s="1335">
        <f t="shared" si="237"/>
        <v>0</v>
      </c>
      <c r="O681" s="1335"/>
      <c r="P681" s="1315"/>
      <c r="Q681" s="1315"/>
      <c r="R681" s="1315"/>
      <c r="S681" s="1315"/>
      <c r="T681" s="1315"/>
      <c r="U681" s="1315"/>
    </row>
    <row r="682" spans="2:21">
      <c r="B682" s="1946"/>
      <c r="C682" s="1946"/>
      <c r="D682" s="1946"/>
      <c r="E682" s="1946"/>
      <c r="F682" s="1946"/>
      <c r="G682" s="1947"/>
      <c r="H682" s="1948"/>
      <c r="I682" s="1949"/>
      <c r="J682" s="1329">
        <f>IF(G682&gt;=0,0,"C60&gt;=0")</f>
        <v>0</v>
      </c>
      <c r="K682" s="1329">
        <f>IF(H682&gt;=0,0,"C70&gt;=0")</f>
        <v>0</v>
      </c>
      <c r="L682" s="1329"/>
      <c r="M682" s="1335">
        <f>IF(G682&lt;=1,0,"c60&lt;=1")</f>
        <v>0</v>
      </c>
      <c r="N682" s="1335">
        <f>IF(($G682*100)&gt;100,"C60 Invalid value greater than 100",IF(($G682*100)&lt;&gt;ROUND(($G682*100),2),($G682*100)&amp;": C60 Invalid no. of decimals",0))</f>
        <v>0</v>
      </c>
      <c r="O682" s="1335"/>
      <c r="P682" s="1315"/>
      <c r="Q682" s="1315"/>
      <c r="R682" s="1315"/>
      <c r="S682" s="1315"/>
      <c r="T682" s="1315"/>
      <c r="U682" s="1315"/>
    </row>
    <row r="683" spans="2:21">
      <c r="B683" s="1946"/>
      <c r="C683" s="1946"/>
      <c r="D683" s="1946"/>
      <c r="E683" s="1946"/>
      <c r="F683" s="1946"/>
      <c r="G683" s="1947"/>
      <c r="H683" s="1948"/>
      <c r="I683" s="1949"/>
      <c r="J683" s="1329">
        <f t="shared" ref="J683:J686" si="241">IF(G683&gt;=0,0,"C60&gt;=0")</f>
        <v>0</v>
      </c>
      <c r="K683" s="1329">
        <f t="shared" ref="K683:K686" si="242">IF(H683&gt;=0,0,"C70&gt;=0")</f>
        <v>0</v>
      </c>
      <c r="L683" s="1329"/>
      <c r="M683" s="1335">
        <f t="shared" ref="M683:M686" si="243">IF(G683&lt;=1,0,"c60&lt;=1")</f>
        <v>0</v>
      </c>
      <c r="N683" s="1335">
        <f t="shared" si="237"/>
        <v>0</v>
      </c>
      <c r="O683" s="1335"/>
      <c r="P683" s="1315"/>
      <c r="Q683" s="1315"/>
      <c r="R683" s="1315"/>
      <c r="S683" s="1315"/>
      <c r="T683" s="1315"/>
      <c r="U683" s="1315"/>
    </row>
    <row r="684" spans="2:21">
      <c r="B684" s="1946"/>
      <c r="C684" s="1946"/>
      <c r="D684" s="1946"/>
      <c r="E684" s="1946"/>
      <c r="F684" s="1946"/>
      <c r="G684" s="1947"/>
      <c r="H684" s="1948"/>
      <c r="I684" s="1949"/>
      <c r="J684" s="1329">
        <f t="shared" si="241"/>
        <v>0</v>
      </c>
      <c r="K684" s="1329">
        <f t="shared" si="242"/>
        <v>0</v>
      </c>
      <c r="L684" s="1329"/>
      <c r="M684" s="1335">
        <f t="shared" si="243"/>
        <v>0</v>
      </c>
      <c r="N684" s="1335">
        <f t="shared" si="237"/>
        <v>0</v>
      </c>
      <c r="O684" s="1335"/>
      <c r="P684" s="1315"/>
      <c r="Q684" s="1315"/>
      <c r="R684" s="1315"/>
      <c r="S684" s="1315"/>
      <c r="T684" s="1315"/>
      <c r="U684" s="1315"/>
    </row>
    <row r="685" spans="2:21">
      <c r="B685" s="1946"/>
      <c r="C685" s="1946"/>
      <c r="D685" s="1946"/>
      <c r="E685" s="1946"/>
      <c r="F685" s="1946"/>
      <c r="G685" s="1947"/>
      <c r="H685" s="1948"/>
      <c r="I685" s="1949"/>
      <c r="J685" s="1329">
        <f t="shared" si="241"/>
        <v>0</v>
      </c>
      <c r="K685" s="1329">
        <f t="shared" si="242"/>
        <v>0</v>
      </c>
      <c r="L685" s="1329"/>
      <c r="M685" s="1335">
        <f t="shared" si="243"/>
        <v>0</v>
      </c>
      <c r="N685" s="1335">
        <f t="shared" si="237"/>
        <v>0</v>
      </c>
      <c r="O685" s="1335"/>
      <c r="P685" s="1315"/>
      <c r="Q685" s="1315"/>
      <c r="R685" s="1315"/>
      <c r="S685" s="1315"/>
      <c r="T685" s="1315"/>
      <c r="U685" s="1315"/>
    </row>
    <row r="686" spans="2:21">
      <c r="B686" s="1946"/>
      <c r="C686" s="1946"/>
      <c r="D686" s="1946"/>
      <c r="E686" s="1946"/>
      <c r="F686" s="1946"/>
      <c r="G686" s="1947"/>
      <c r="H686" s="1948"/>
      <c r="I686" s="1949"/>
      <c r="J686" s="1329">
        <f t="shared" si="241"/>
        <v>0</v>
      </c>
      <c r="K686" s="1329">
        <f t="shared" si="242"/>
        <v>0</v>
      </c>
      <c r="L686" s="1329"/>
      <c r="M686" s="1335">
        <f t="shared" si="243"/>
        <v>0</v>
      </c>
      <c r="N686" s="1335">
        <f t="shared" si="237"/>
        <v>0</v>
      </c>
      <c r="O686" s="1335"/>
      <c r="P686" s="1315"/>
      <c r="Q686" s="1315"/>
      <c r="R686" s="1315"/>
      <c r="S686" s="1315"/>
      <c r="T686" s="1315"/>
      <c r="U686" s="1315"/>
    </row>
    <row r="687" spans="2:21">
      <c r="B687" s="1946"/>
      <c r="C687" s="1946"/>
      <c r="D687" s="1946"/>
      <c r="E687" s="1946"/>
      <c r="F687" s="1946"/>
      <c r="G687" s="1947"/>
      <c r="H687" s="1948"/>
      <c r="I687" s="1949"/>
      <c r="J687" s="1329">
        <f>IF(G687&gt;=0,0,"C60&gt;=0")</f>
        <v>0</v>
      </c>
      <c r="K687" s="1329">
        <f>IF(H687&gt;=0,0,"C70&gt;=0")</f>
        <v>0</v>
      </c>
      <c r="L687" s="1329"/>
      <c r="M687" s="1335">
        <f>IF(G687&lt;=1,0,"c60&lt;=1")</f>
        <v>0</v>
      </c>
      <c r="N687" s="1335">
        <f>IF(($G687*100)&gt;100,"C60 Invalid value greater than 100",IF(($G687*100)&lt;&gt;ROUND(($G687*100),2),($G687*100)&amp;": C60 Invalid no. of decimals",0))</f>
        <v>0</v>
      </c>
      <c r="O687" s="1335"/>
      <c r="P687" s="1315"/>
      <c r="Q687" s="1315"/>
      <c r="R687" s="1315"/>
      <c r="S687" s="1315"/>
      <c r="T687" s="1315"/>
      <c r="U687" s="1315"/>
    </row>
    <row r="688" spans="2:21">
      <c r="B688" s="1946"/>
      <c r="C688" s="1946"/>
      <c r="D688" s="1946"/>
      <c r="E688" s="1946"/>
      <c r="F688" s="1946"/>
      <c r="G688" s="1947"/>
      <c r="H688" s="1948"/>
      <c r="I688" s="1949"/>
      <c r="J688" s="1329">
        <f t="shared" ref="J688:J691" si="244">IF(G688&gt;=0,0,"C60&gt;=0")</f>
        <v>0</v>
      </c>
      <c r="K688" s="1329">
        <f t="shared" ref="K688:K691" si="245">IF(H688&gt;=0,0,"C70&gt;=0")</f>
        <v>0</v>
      </c>
      <c r="L688" s="1329"/>
      <c r="M688" s="1335">
        <f t="shared" ref="M688:M691" si="246">IF(G688&lt;=1,0,"c60&lt;=1")</f>
        <v>0</v>
      </c>
      <c r="N688" s="1335">
        <f t="shared" si="237"/>
        <v>0</v>
      </c>
      <c r="O688" s="1335"/>
      <c r="P688" s="1315"/>
      <c r="Q688" s="1315"/>
      <c r="R688" s="1315"/>
      <c r="S688" s="1315"/>
      <c r="T688" s="1315"/>
      <c r="U688" s="1315"/>
    </row>
    <row r="689" spans="2:21">
      <c r="B689" s="1946"/>
      <c r="C689" s="1946"/>
      <c r="D689" s="1946"/>
      <c r="E689" s="1946"/>
      <c r="F689" s="1946"/>
      <c r="G689" s="1947"/>
      <c r="H689" s="1948"/>
      <c r="I689" s="1949"/>
      <c r="J689" s="1329">
        <f t="shared" si="244"/>
        <v>0</v>
      </c>
      <c r="K689" s="1329">
        <f t="shared" si="245"/>
        <v>0</v>
      </c>
      <c r="L689" s="1329"/>
      <c r="M689" s="1335">
        <f t="shared" si="246"/>
        <v>0</v>
      </c>
      <c r="N689" s="1335">
        <f t="shared" si="237"/>
        <v>0</v>
      </c>
      <c r="O689" s="1335"/>
      <c r="P689" s="1315"/>
      <c r="Q689" s="1315"/>
      <c r="R689" s="1315"/>
      <c r="S689" s="1315"/>
      <c r="T689" s="1315"/>
      <c r="U689" s="1315"/>
    </row>
    <row r="690" spans="2:21">
      <c r="B690" s="1946"/>
      <c r="C690" s="1946"/>
      <c r="D690" s="1946"/>
      <c r="E690" s="1946"/>
      <c r="F690" s="1946"/>
      <c r="G690" s="1947"/>
      <c r="H690" s="1948"/>
      <c r="I690" s="1949"/>
      <c r="J690" s="1329">
        <f t="shared" si="244"/>
        <v>0</v>
      </c>
      <c r="K690" s="1329">
        <f t="shared" si="245"/>
        <v>0</v>
      </c>
      <c r="L690" s="1329"/>
      <c r="M690" s="1335">
        <f t="shared" si="246"/>
        <v>0</v>
      </c>
      <c r="N690" s="1335">
        <f t="shared" si="237"/>
        <v>0</v>
      </c>
      <c r="O690" s="1335"/>
      <c r="P690" s="1315"/>
      <c r="Q690" s="1315"/>
      <c r="R690" s="1315"/>
      <c r="S690" s="1315"/>
      <c r="T690" s="1315"/>
      <c r="U690" s="1315"/>
    </row>
    <row r="691" spans="2:21">
      <c r="B691" s="1946"/>
      <c r="C691" s="1946"/>
      <c r="D691" s="1946"/>
      <c r="E691" s="1946"/>
      <c r="F691" s="1946"/>
      <c r="G691" s="1947"/>
      <c r="H691" s="1948"/>
      <c r="I691" s="1949"/>
      <c r="J691" s="1329">
        <f t="shared" si="244"/>
        <v>0</v>
      </c>
      <c r="K691" s="1329">
        <f t="shared" si="245"/>
        <v>0</v>
      </c>
      <c r="L691" s="1329"/>
      <c r="M691" s="1335">
        <f t="shared" si="246"/>
        <v>0</v>
      </c>
      <c r="N691" s="1335">
        <f t="shared" si="237"/>
        <v>0</v>
      </c>
      <c r="O691" s="1335"/>
      <c r="P691" s="1315"/>
      <c r="Q691" s="1315"/>
      <c r="R691" s="1315"/>
      <c r="S691" s="1315"/>
      <c r="T691" s="1315"/>
      <c r="U691" s="1315"/>
    </row>
    <row r="692" spans="2:21">
      <c r="B692" s="1946"/>
      <c r="C692" s="1946"/>
      <c r="D692" s="1946"/>
      <c r="E692" s="1946"/>
      <c r="F692" s="1946"/>
      <c r="G692" s="1947"/>
      <c r="H692" s="1948"/>
      <c r="I692" s="1949"/>
      <c r="J692" s="1329">
        <f>IF(G692&gt;=0,0,"C60&gt;=0")</f>
        <v>0</v>
      </c>
      <c r="K692" s="1329">
        <f>IF(H692&gt;=0,0,"C70&gt;=0")</f>
        <v>0</v>
      </c>
      <c r="L692" s="1329"/>
      <c r="M692" s="1335">
        <f>IF(G692&lt;=1,0,"c60&lt;=1")</f>
        <v>0</v>
      </c>
      <c r="N692" s="1335">
        <f>IF(($G692*100)&gt;100,"C60 Invalid value greater than 100",IF(($G692*100)&lt;&gt;ROUND(($G692*100),2),($G692*100)&amp;": C60 Invalid no. of decimals",0))</f>
        <v>0</v>
      </c>
      <c r="O692" s="1335"/>
      <c r="P692" s="1315"/>
      <c r="Q692" s="1315"/>
      <c r="R692" s="1315"/>
      <c r="S692" s="1315"/>
      <c r="T692" s="1315"/>
      <c r="U692" s="1315"/>
    </row>
    <row r="693" spans="2:21">
      <c r="B693" s="1946"/>
      <c r="C693" s="1946"/>
      <c r="D693" s="1946"/>
      <c r="E693" s="1946"/>
      <c r="F693" s="1946"/>
      <c r="G693" s="1947"/>
      <c r="H693" s="1948"/>
      <c r="I693" s="1949"/>
      <c r="J693" s="1329">
        <f t="shared" ref="J693:J696" si="247">IF(G693&gt;=0,0,"C60&gt;=0")</f>
        <v>0</v>
      </c>
      <c r="K693" s="1329">
        <f t="shared" ref="K693:K696" si="248">IF(H693&gt;=0,0,"C70&gt;=0")</f>
        <v>0</v>
      </c>
      <c r="L693" s="1329"/>
      <c r="M693" s="1335">
        <f t="shared" ref="M693:M696" si="249">IF(G693&lt;=1,0,"c60&lt;=1")</f>
        <v>0</v>
      </c>
      <c r="N693" s="1335">
        <f t="shared" si="237"/>
        <v>0</v>
      </c>
      <c r="O693" s="1335"/>
      <c r="P693" s="1315"/>
      <c r="Q693" s="1315"/>
      <c r="R693" s="1315"/>
      <c r="S693" s="1315"/>
      <c r="T693" s="1315"/>
      <c r="U693" s="1315"/>
    </row>
    <row r="694" spans="2:21">
      <c r="B694" s="1946"/>
      <c r="C694" s="1946"/>
      <c r="D694" s="1946"/>
      <c r="E694" s="1946"/>
      <c r="F694" s="1946"/>
      <c r="G694" s="1947"/>
      <c r="H694" s="1948"/>
      <c r="I694" s="1949"/>
      <c r="J694" s="1329">
        <f t="shared" si="247"/>
        <v>0</v>
      </c>
      <c r="K694" s="1329">
        <f t="shared" si="248"/>
        <v>0</v>
      </c>
      <c r="L694" s="1329"/>
      <c r="M694" s="1335">
        <f t="shared" si="249"/>
        <v>0</v>
      </c>
      <c r="N694" s="1335">
        <f t="shared" si="237"/>
        <v>0</v>
      </c>
      <c r="O694" s="1335"/>
      <c r="P694" s="1315"/>
      <c r="Q694" s="1315"/>
      <c r="R694" s="1315"/>
      <c r="S694" s="1315"/>
      <c r="T694" s="1315"/>
      <c r="U694" s="1315"/>
    </row>
    <row r="695" spans="2:21">
      <c r="B695" s="1946"/>
      <c r="C695" s="1946"/>
      <c r="D695" s="1946"/>
      <c r="E695" s="1946"/>
      <c r="F695" s="1946"/>
      <c r="G695" s="1947"/>
      <c r="H695" s="1948"/>
      <c r="I695" s="1949"/>
      <c r="J695" s="1329">
        <f t="shared" si="247"/>
        <v>0</v>
      </c>
      <c r="K695" s="1329">
        <f t="shared" si="248"/>
        <v>0</v>
      </c>
      <c r="L695" s="1329"/>
      <c r="M695" s="1335">
        <f t="shared" si="249"/>
        <v>0</v>
      </c>
      <c r="N695" s="1335">
        <f t="shared" si="237"/>
        <v>0</v>
      </c>
      <c r="O695" s="1335"/>
      <c r="P695" s="1315"/>
      <c r="Q695" s="1315"/>
      <c r="R695" s="1315"/>
      <c r="S695" s="1315"/>
      <c r="T695" s="1315"/>
      <c r="U695" s="1315"/>
    </row>
    <row r="696" spans="2:21">
      <c r="B696" s="1946"/>
      <c r="C696" s="1946"/>
      <c r="D696" s="1946"/>
      <c r="E696" s="1946"/>
      <c r="F696" s="1946"/>
      <c r="G696" s="1947"/>
      <c r="H696" s="1948"/>
      <c r="I696" s="1949"/>
      <c r="J696" s="1329">
        <f t="shared" si="247"/>
        <v>0</v>
      </c>
      <c r="K696" s="1329">
        <f t="shared" si="248"/>
        <v>0</v>
      </c>
      <c r="L696" s="1329"/>
      <c r="M696" s="1335">
        <f t="shared" si="249"/>
        <v>0</v>
      </c>
      <c r="N696" s="1335">
        <f t="shared" si="237"/>
        <v>0</v>
      </c>
      <c r="O696" s="1335"/>
      <c r="P696" s="1315"/>
      <c r="Q696" s="1315"/>
      <c r="R696" s="1315"/>
      <c r="S696" s="1315"/>
      <c r="T696" s="1315"/>
      <c r="U696" s="1315"/>
    </row>
    <row r="697" spans="2:21">
      <c r="B697" s="1946"/>
      <c r="C697" s="1946"/>
      <c r="D697" s="1946"/>
      <c r="E697" s="1946"/>
      <c r="F697" s="1946"/>
      <c r="G697" s="1947"/>
      <c r="H697" s="1948"/>
      <c r="I697" s="1949"/>
      <c r="J697" s="1329">
        <f>IF(G697&gt;=0,0,"C60&gt;=0")</f>
        <v>0</v>
      </c>
      <c r="K697" s="1329">
        <f>IF(H697&gt;=0,0,"C70&gt;=0")</f>
        <v>0</v>
      </c>
      <c r="L697" s="1329"/>
      <c r="M697" s="1335">
        <f>IF(G697&lt;=1,0,"c60&lt;=1")</f>
        <v>0</v>
      </c>
      <c r="N697" s="1335">
        <f>IF(($G697*100)&gt;100,"C60 Invalid value greater than 100",IF(($G697*100)&lt;&gt;ROUND(($G697*100),2),($G697*100)&amp;": C60 Invalid no. of decimals",0))</f>
        <v>0</v>
      </c>
      <c r="O697" s="1335"/>
      <c r="P697" s="1315"/>
      <c r="Q697" s="1315"/>
      <c r="R697" s="1315"/>
      <c r="S697" s="1315"/>
      <c r="T697" s="1315"/>
      <c r="U697" s="1315"/>
    </row>
    <row r="698" spans="2:21">
      <c r="B698" s="1946"/>
      <c r="C698" s="1946"/>
      <c r="D698" s="1946"/>
      <c r="E698" s="1946"/>
      <c r="F698" s="1946"/>
      <c r="G698" s="1947"/>
      <c r="H698" s="1948"/>
      <c r="I698" s="1949"/>
      <c r="J698" s="1329">
        <f t="shared" ref="J698:J701" si="250">IF(G698&gt;=0,0,"C60&gt;=0")</f>
        <v>0</v>
      </c>
      <c r="K698" s="1329">
        <f t="shared" ref="K698:K701" si="251">IF(H698&gt;=0,0,"C70&gt;=0")</f>
        <v>0</v>
      </c>
      <c r="L698" s="1329"/>
      <c r="M698" s="1335">
        <f t="shared" ref="M698:M701" si="252">IF(G698&lt;=1,0,"c60&lt;=1")</f>
        <v>0</v>
      </c>
      <c r="N698" s="1335">
        <f t="shared" si="237"/>
        <v>0</v>
      </c>
      <c r="O698" s="1335"/>
      <c r="P698" s="1315"/>
      <c r="Q698" s="1315"/>
      <c r="R698" s="1315"/>
      <c r="S698" s="1315"/>
      <c r="T698" s="1315"/>
      <c r="U698" s="1315"/>
    </row>
    <row r="699" spans="2:21">
      <c r="B699" s="1946"/>
      <c r="C699" s="1946"/>
      <c r="D699" s="1946"/>
      <c r="E699" s="1946"/>
      <c r="F699" s="1946"/>
      <c r="G699" s="1947"/>
      <c r="H699" s="1948"/>
      <c r="I699" s="1949"/>
      <c r="J699" s="1329">
        <f t="shared" si="250"/>
        <v>0</v>
      </c>
      <c r="K699" s="1329">
        <f t="shared" si="251"/>
        <v>0</v>
      </c>
      <c r="L699" s="1329"/>
      <c r="M699" s="1335">
        <f t="shared" si="252"/>
        <v>0</v>
      </c>
      <c r="N699" s="1335">
        <f t="shared" si="237"/>
        <v>0</v>
      </c>
      <c r="O699" s="1335"/>
      <c r="P699" s="1315"/>
      <c r="Q699" s="1315"/>
      <c r="R699" s="1315"/>
      <c r="S699" s="1315"/>
      <c r="T699" s="1315"/>
      <c r="U699" s="1315"/>
    </row>
    <row r="700" spans="2:21">
      <c r="B700" s="1946"/>
      <c r="C700" s="1946"/>
      <c r="D700" s="1946"/>
      <c r="E700" s="1946"/>
      <c r="F700" s="1946"/>
      <c r="G700" s="1947"/>
      <c r="H700" s="1948"/>
      <c r="I700" s="1949"/>
      <c r="J700" s="1329">
        <f t="shared" si="250"/>
        <v>0</v>
      </c>
      <c r="K700" s="1329">
        <f t="shared" si="251"/>
        <v>0</v>
      </c>
      <c r="L700" s="1329"/>
      <c r="M700" s="1335">
        <f t="shared" si="252"/>
        <v>0</v>
      </c>
      <c r="N700" s="1335">
        <f t="shared" si="237"/>
        <v>0</v>
      </c>
      <c r="O700" s="1335"/>
      <c r="P700" s="1315"/>
      <c r="Q700" s="1315"/>
      <c r="R700" s="1315"/>
      <c r="S700" s="1315"/>
      <c r="T700" s="1315"/>
      <c r="U700" s="1315"/>
    </row>
    <row r="701" spans="2:21">
      <c r="B701" s="1946"/>
      <c r="C701" s="1946"/>
      <c r="D701" s="1946"/>
      <c r="E701" s="1946"/>
      <c r="F701" s="1946"/>
      <c r="G701" s="1947"/>
      <c r="H701" s="1948"/>
      <c r="I701" s="1949"/>
      <c r="J701" s="1329">
        <f t="shared" si="250"/>
        <v>0</v>
      </c>
      <c r="K701" s="1329">
        <f t="shared" si="251"/>
        <v>0</v>
      </c>
      <c r="L701" s="1329"/>
      <c r="M701" s="1335">
        <f t="shared" si="252"/>
        <v>0</v>
      </c>
      <c r="N701" s="1335">
        <f t="shared" si="237"/>
        <v>0</v>
      </c>
      <c r="O701" s="1335"/>
      <c r="P701" s="1315"/>
      <c r="Q701" s="1315"/>
      <c r="R701" s="1315"/>
      <c r="S701" s="1315"/>
      <c r="T701" s="1315"/>
      <c r="U701" s="1315"/>
    </row>
    <row r="702" spans="2:21">
      <c r="B702" s="1946"/>
      <c r="C702" s="1946"/>
      <c r="D702" s="1946"/>
      <c r="E702" s="1946"/>
      <c r="F702" s="1946"/>
      <c r="G702" s="1947"/>
      <c r="H702" s="1948"/>
      <c r="I702" s="1949"/>
      <c r="J702" s="1329">
        <f>IF(G702&gt;=0,0,"C60&gt;=0")</f>
        <v>0</v>
      </c>
      <c r="K702" s="1329">
        <f>IF(H702&gt;=0,0,"C70&gt;=0")</f>
        <v>0</v>
      </c>
      <c r="L702" s="1329"/>
      <c r="M702" s="1335">
        <f>IF(G702&lt;=1,0,"c60&lt;=1")</f>
        <v>0</v>
      </c>
      <c r="N702" s="1335">
        <f>IF(($G702*100)&gt;100,"C60 Invalid value greater than 100",IF(($G702*100)&lt;&gt;ROUND(($G702*100),2),($G702*100)&amp;": C60 Invalid no. of decimals",0))</f>
        <v>0</v>
      </c>
      <c r="O702" s="1335"/>
      <c r="P702" s="1315"/>
      <c r="Q702" s="1315"/>
      <c r="R702" s="1315"/>
      <c r="S702" s="1315"/>
      <c r="T702" s="1315"/>
      <c r="U702" s="1315"/>
    </row>
    <row r="703" spans="2:21">
      <c r="B703" s="1946"/>
      <c r="C703" s="1946"/>
      <c r="D703" s="1946"/>
      <c r="E703" s="1946"/>
      <c r="F703" s="1946"/>
      <c r="G703" s="1947"/>
      <c r="H703" s="1948"/>
      <c r="I703" s="1949"/>
      <c r="J703" s="1329">
        <f t="shared" ref="J703:J706" si="253">IF(G703&gt;=0,0,"C60&gt;=0")</f>
        <v>0</v>
      </c>
      <c r="K703" s="1329">
        <f t="shared" ref="K703:K706" si="254">IF(H703&gt;=0,0,"C70&gt;=0")</f>
        <v>0</v>
      </c>
      <c r="L703" s="1329"/>
      <c r="M703" s="1335">
        <f t="shared" ref="M703:M706" si="255">IF(G703&lt;=1,0,"c60&lt;=1")</f>
        <v>0</v>
      </c>
      <c r="N703" s="1335">
        <f t="shared" si="237"/>
        <v>0</v>
      </c>
      <c r="O703" s="1335"/>
      <c r="P703" s="1315"/>
      <c r="Q703" s="1315"/>
      <c r="R703" s="1315"/>
      <c r="S703" s="1315"/>
      <c r="T703" s="1315"/>
      <c r="U703" s="1315"/>
    </row>
    <row r="704" spans="2:21">
      <c r="B704" s="1946"/>
      <c r="C704" s="1946"/>
      <c r="D704" s="1946"/>
      <c r="E704" s="1946"/>
      <c r="F704" s="1946"/>
      <c r="G704" s="1947"/>
      <c r="H704" s="1948"/>
      <c r="I704" s="1949"/>
      <c r="J704" s="1329">
        <f t="shared" si="253"/>
        <v>0</v>
      </c>
      <c r="K704" s="1329">
        <f t="shared" si="254"/>
        <v>0</v>
      </c>
      <c r="L704" s="1329"/>
      <c r="M704" s="1335">
        <f t="shared" si="255"/>
        <v>0</v>
      </c>
      <c r="N704" s="1335">
        <f t="shared" si="237"/>
        <v>0</v>
      </c>
      <c r="O704" s="1335"/>
      <c r="P704" s="1315"/>
      <c r="Q704" s="1315"/>
      <c r="R704" s="1315"/>
      <c r="S704" s="1315"/>
      <c r="T704" s="1315"/>
      <c r="U704" s="1315"/>
    </row>
    <row r="705" spans="2:21">
      <c r="B705" s="1946"/>
      <c r="C705" s="1946"/>
      <c r="D705" s="1946"/>
      <c r="E705" s="1946"/>
      <c r="F705" s="1946"/>
      <c r="G705" s="1947"/>
      <c r="H705" s="1948"/>
      <c r="I705" s="1949"/>
      <c r="J705" s="1329">
        <f t="shared" si="253"/>
        <v>0</v>
      </c>
      <c r="K705" s="1329">
        <f t="shared" si="254"/>
        <v>0</v>
      </c>
      <c r="L705" s="1329"/>
      <c r="M705" s="1335">
        <f t="shared" si="255"/>
        <v>0</v>
      </c>
      <c r="N705" s="1335">
        <f t="shared" si="237"/>
        <v>0</v>
      </c>
      <c r="O705" s="1335"/>
      <c r="P705" s="1315"/>
      <c r="Q705" s="1315"/>
      <c r="R705" s="1315"/>
      <c r="S705" s="1315"/>
      <c r="T705" s="1315"/>
      <c r="U705" s="1315"/>
    </row>
    <row r="706" spans="2:21">
      <c r="B706" s="1946"/>
      <c r="C706" s="1946"/>
      <c r="D706" s="1946"/>
      <c r="E706" s="1946"/>
      <c r="F706" s="1946"/>
      <c r="G706" s="1947"/>
      <c r="H706" s="1948"/>
      <c r="I706" s="1949"/>
      <c r="J706" s="1329">
        <f t="shared" si="253"/>
        <v>0</v>
      </c>
      <c r="K706" s="1329">
        <f t="shared" si="254"/>
        <v>0</v>
      </c>
      <c r="L706" s="1329"/>
      <c r="M706" s="1335">
        <f t="shared" si="255"/>
        <v>0</v>
      </c>
      <c r="N706" s="1335">
        <f t="shared" si="237"/>
        <v>0</v>
      </c>
      <c r="O706" s="1335"/>
      <c r="P706" s="1315"/>
      <c r="Q706" s="1315"/>
      <c r="R706" s="1315"/>
      <c r="S706" s="1315"/>
      <c r="T706" s="1315"/>
      <c r="U706" s="1315"/>
    </row>
    <row r="707" spans="2:21">
      <c r="B707" s="1946"/>
      <c r="C707" s="1946"/>
      <c r="D707" s="1946"/>
      <c r="E707" s="1946"/>
      <c r="F707" s="1946"/>
      <c r="G707" s="1947"/>
      <c r="H707" s="1948"/>
      <c r="I707" s="1949"/>
      <c r="J707" s="1329">
        <f>IF(G707&gt;=0,0,"C60&gt;=0")</f>
        <v>0</v>
      </c>
      <c r="K707" s="1329">
        <f>IF(H707&gt;=0,0,"C70&gt;=0")</f>
        <v>0</v>
      </c>
      <c r="L707" s="1329"/>
      <c r="M707" s="1335">
        <f>IF(G707&lt;=1,0,"c60&lt;=1")</f>
        <v>0</v>
      </c>
      <c r="N707" s="1335">
        <f>IF(($G707*100)&gt;100,"C60 Invalid value greater than 100",IF(($G707*100)&lt;&gt;ROUND(($G707*100),2),($G707*100)&amp;": C60 Invalid no. of decimals",0))</f>
        <v>0</v>
      </c>
      <c r="O707" s="1335"/>
      <c r="P707" s="1315"/>
      <c r="Q707" s="1315"/>
      <c r="R707" s="1315"/>
      <c r="S707" s="1315"/>
      <c r="T707" s="1315"/>
      <c r="U707" s="1315"/>
    </row>
    <row r="708" spans="2:21">
      <c r="B708" s="1946"/>
      <c r="C708" s="1946"/>
      <c r="D708" s="1946"/>
      <c r="E708" s="1946"/>
      <c r="F708" s="1946"/>
      <c r="G708" s="1947"/>
      <c r="H708" s="1948"/>
      <c r="I708" s="1949"/>
      <c r="J708" s="1329">
        <f t="shared" ref="J708:J711" si="256">IF(G708&gt;=0,0,"C60&gt;=0")</f>
        <v>0</v>
      </c>
      <c r="K708" s="1329">
        <f t="shared" ref="K708:K711" si="257">IF(H708&gt;=0,0,"C70&gt;=0")</f>
        <v>0</v>
      </c>
      <c r="L708" s="1329"/>
      <c r="M708" s="1335">
        <f t="shared" ref="M708:M711" si="258">IF(G708&lt;=1,0,"c60&lt;=1")</f>
        <v>0</v>
      </c>
      <c r="N708" s="1335">
        <f t="shared" si="237"/>
        <v>0</v>
      </c>
      <c r="O708" s="1335"/>
      <c r="P708" s="1315"/>
      <c r="Q708" s="1315"/>
      <c r="R708" s="1315"/>
      <c r="S708" s="1315"/>
      <c r="T708" s="1315"/>
      <c r="U708" s="1315"/>
    </row>
    <row r="709" spans="2:21">
      <c r="B709" s="1946"/>
      <c r="C709" s="1946"/>
      <c r="D709" s="1946"/>
      <c r="E709" s="1946"/>
      <c r="F709" s="1946"/>
      <c r="G709" s="1947"/>
      <c r="H709" s="1948"/>
      <c r="I709" s="1949"/>
      <c r="J709" s="1329">
        <f t="shared" si="256"/>
        <v>0</v>
      </c>
      <c r="K709" s="1329">
        <f t="shared" si="257"/>
        <v>0</v>
      </c>
      <c r="L709" s="1329"/>
      <c r="M709" s="1335">
        <f t="shared" si="258"/>
        <v>0</v>
      </c>
      <c r="N709" s="1335">
        <f t="shared" si="237"/>
        <v>0</v>
      </c>
      <c r="O709" s="1335"/>
      <c r="P709" s="1315"/>
      <c r="Q709" s="1315"/>
      <c r="R709" s="1315"/>
      <c r="S709" s="1315"/>
      <c r="T709" s="1315"/>
      <c r="U709" s="1315"/>
    </row>
    <row r="710" spans="2:21">
      <c r="B710" s="1946"/>
      <c r="C710" s="1946"/>
      <c r="D710" s="1946"/>
      <c r="E710" s="1946"/>
      <c r="F710" s="1946"/>
      <c r="G710" s="1947"/>
      <c r="H710" s="1948"/>
      <c r="I710" s="1949"/>
      <c r="J710" s="1329">
        <f t="shared" si="256"/>
        <v>0</v>
      </c>
      <c r="K710" s="1329">
        <f t="shared" si="257"/>
        <v>0</v>
      </c>
      <c r="L710" s="1329"/>
      <c r="M710" s="1335">
        <f t="shared" si="258"/>
        <v>0</v>
      </c>
      <c r="N710" s="1335">
        <f t="shared" si="237"/>
        <v>0</v>
      </c>
      <c r="O710" s="1335"/>
      <c r="P710" s="1315"/>
      <c r="Q710" s="1315"/>
      <c r="R710" s="1315"/>
      <c r="S710" s="1315"/>
      <c r="T710" s="1315"/>
      <c r="U710" s="1315"/>
    </row>
    <row r="711" spans="2:21">
      <c r="B711" s="1946"/>
      <c r="C711" s="1946"/>
      <c r="D711" s="1946"/>
      <c r="E711" s="1946"/>
      <c r="F711" s="1946"/>
      <c r="G711" s="1947"/>
      <c r="H711" s="1948"/>
      <c r="I711" s="1949"/>
      <c r="J711" s="1329">
        <f t="shared" si="256"/>
        <v>0</v>
      </c>
      <c r="K711" s="1329">
        <f t="shared" si="257"/>
        <v>0</v>
      </c>
      <c r="L711" s="1329"/>
      <c r="M711" s="1335">
        <f t="shared" si="258"/>
        <v>0</v>
      </c>
      <c r="N711" s="1335">
        <f t="shared" si="237"/>
        <v>0</v>
      </c>
      <c r="O711" s="1335"/>
      <c r="P711" s="1315"/>
      <c r="Q711" s="1315"/>
      <c r="R711" s="1315"/>
      <c r="S711" s="1315"/>
      <c r="T711" s="1315"/>
      <c r="U711" s="1315"/>
    </row>
    <row r="712" spans="2:21">
      <c r="B712" s="1946"/>
      <c r="C712" s="1946"/>
      <c r="D712" s="1946"/>
      <c r="E712" s="1946"/>
      <c r="F712" s="1946"/>
      <c r="G712" s="1947"/>
      <c r="H712" s="1948"/>
      <c r="I712" s="1949"/>
      <c r="J712" s="1329">
        <f>IF(G712&gt;=0,0,"C60&gt;=0")</f>
        <v>0</v>
      </c>
      <c r="K712" s="1329">
        <f>IF(H712&gt;=0,0,"C70&gt;=0")</f>
        <v>0</v>
      </c>
      <c r="L712" s="1329"/>
      <c r="M712" s="1335">
        <f>IF(G712&lt;=1,0,"c60&lt;=1")</f>
        <v>0</v>
      </c>
      <c r="N712" s="1335">
        <f>IF(($G712*100)&gt;100,"C60 Invalid value greater than 100",IF(($G712*100)&lt;&gt;ROUND(($G712*100),2),($G712*100)&amp;": C60 Invalid no. of decimals",0))</f>
        <v>0</v>
      </c>
      <c r="O712" s="1335"/>
      <c r="P712" s="1315"/>
      <c r="Q712" s="1315"/>
      <c r="R712" s="1315"/>
      <c r="S712" s="1315"/>
      <c r="T712" s="1315"/>
      <c r="U712" s="1315"/>
    </row>
    <row r="713" spans="2:21">
      <c r="B713" s="1946"/>
      <c r="C713" s="1946"/>
      <c r="D713" s="1946"/>
      <c r="E713" s="1946"/>
      <c r="F713" s="1946"/>
      <c r="G713" s="1947"/>
      <c r="H713" s="1948"/>
      <c r="I713" s="1949"/>
      <c r="J713" s="1329">
        <f t="shared" ref="J713:J716" si="259">IF(G713&gt;=0,0,"C60&gt;=0")</f>
        <v>0</v>
      </c>
      <c r="K713" s="1329">
        <f t="shared" ref="K713:K716" si="260">IF(H713&gt;=0,0,"C70&gt;=0")</f>
        <v>0</v>
      </c>
      <c r="L713" s="1329"/>
      <c r="M713" s="1335">
        <f t="shared" ref="M713:M716" si="261">IF(G713&lt;=1,0,"c60&lt;=1")</f>
        <v>0</v>
      </c>
      <c r="N713" s="1335">
        <f t="shared" si="237"/>
        <v>0</v>
      </c>
      <c r="O713" s="1335"/>
      <c r="P713" s="1315"/>
      <c r="Q713" s="1315"/>
      <c r="R713" s="1315"/>
      <c r="S713" s="1315"/>
      <c r="T713" s="1315"/>
      <c r="U713" s="1315"/>
    </row>
    <row r="714" spans="2:21">
      <c r="B714" s="1946"/>
      <c r="C714" s="1946"/>
      <c r="D714" s="1946"/>
      <c r="E714" s="1946"/>
      <c r="F714" s="1946"/>
      <c r="G714" s="1947"/>
      <c r="H714" s="1948"/>
      <c r="I714" s="1949"/>
      <c r="J714" s="1329">
        <f t="shared" si="259"/>
        <v>0</v>
      </c>
      <c r="K714" s="1329">
        <f t="shared" si="260"/>
        <v>0</v>
      </c>
      <c r="L714" s="1329"/>
      <c r="M714" s="1335">
        <f t="shared" si="261"/>
        <v>0</v>
      </c>
      <c r="N714" s="1335">
        <f t="shared" si="237"/>
        <v>0</v>
      </c>
      <c r="O714" s="1335"/>
      <c r="P714" s="1315"/>
      <c r="Q714" s="1315"/>
      <c r="R714" s="1315"/>
      <c r="S714" s="1315"/>
      <c r="T714" s="1315"/>
      <c r="U714" s="1315"/>
    </row>
    <row r="715" spans="2:21">
      <c r="B715" s="1946"/>
      <c r="C715" s="1946"/>
      <c r="D715" s="1946"/>
      <c r="E715" s="1946"/>
      <c r="F715" s="1946"/>
      <c r="G715" s="1947"/>
      <c r="H715" s="1948"/>
      <c r="I715" s="1949"/>
      <c r="J715" s="1329">
        <f t="shared" si="259"/>
        <v>0</v>
      </c>
      <c r="K715" s="1329">
        <f t="shared" si="260"/>
        <v>0</v>
      </c>
      <c r="L715" s="1329"/>
      <c r="M715" s="1335">
        <f t="shared" si="261"/>
        <v>0</v>
      </c>
      <c r="N715" s="1335">
        <f t="shared" si="237"/>
        <v>0</v>
      </c>
      <c r="O715" s="1335"/>
      <c r="P715" s="1315"/>
      <c r="Q715" s="1315"/>
      <c r="R715" s="1315"/>
      <c r="S715" s="1315"/>
      <c r="T715" s="1315"/>
      <c r="U715" s="1315"/>
    </row>
    <row r="716" spans="2:21">
      <c r="B716" s="1946"/>
      <c r="C716" s="1946"/>
      <c r="D716" s="1946"/>
      <c r="E716" s="1946"/>
      <c r="F716" s="1946"/>
      <c r="G716" s="1947"/>
      <c r="H716" s="1948"/>
      <c r="I716" s="1949"/>
      <c r="J716" s="1329">
        <f t="shared" si="259"/>
        <v>0</v>
      </c>
      <c r="K716" s="1329">
        <f t="shared" si="260"/>
        <v>0</v>
      </c>
      <c r="L716" s="1329"/>
      <c r="M716" s="1335">
        <f t="shared" si="261"/>
        <v>0</v>
      </c>
      <c r="N716" s="1335">
        <f t="shared" si="237"/>
        <v>0</v>
      </c>
      <c r="O716" s="1335"/>
      <c r="P716" s="1315"/>
      <c r="Q716" s="1315"/>
      <c r="R716" s="1315"/>
      <c r="S716" s="1315"/>
      <c r="T716" s="1315"/>
      <c r="U716" s="1315"/>
    </row>
    <row r="717" spans="2:21">
      <c r="B717" s="1946"/>
      <c r="C717" s="1946"/>
      <c r="D717" s="1946"/>
      <c r="E717" s="1946"/>
      <c r="F717" s="1946"/>
      <c r="G717" s="1947"/>
      <c r="H717" s="1948"/>
      <c r="I717" s="1949"/>
      <c r="J717" s="1329">
        <f>IF(G717&gt;=0,0,"C60&gt;=0")</f>
        <v>0</v>
      </c>
      <c r="K717" s="1329">
        <f>IF(H717&gt;=0,0,"C70&gt;=0")</f>
        <v>0</v>
      </c>
      <c r="L717" s="1329"/>
      <c r="M717" s="1335">
        <f>IF(G717&lt;=1,0,"c60&lt;=1")</f>
        <v>0</v>
      </c>
      <c r="N717" s="1335">
        <f>IF(($G717*100)&gt;100,"C60 Invalid value greater than 100",IF(($G717*100)&lt;&gt;ROUND(($G717*100),2),($G717*100)&amp;": C60 Invalid no. of decimals",0))</f>
        <v>0</v>
      </c>
      <c r="O717" s="1335"/>
      <c r="P717" s="1315"/>
      <c r="Q717" s="1315"/>
      <c r="R717" s="1315"/>
      <c r="S717" s="1315"/>
      <c r="T717" s="1315"/>
      <c r="U717" s="1315"/>
    </row>
    <row r="718" spans="2:21">
      <c r="B718" s="1946"/>
      <c r="C718" s="1946"/>
      <c r="D718" s="1946"/>
      <c r="E718" s="1946"/>
      <c r="F718" s="1946"/>
      <c r="G718" s="1947"/>
      <c r="H718" s="1948"/>
      <c r="I718" s="1949"/>
      <c r="J718" s="1329">
        <f t="shared" ref="J718:J721" si="262">IF(G718&gt;=0,0,"C60&gt;=0")</f>
        <v>0</v>
      </c>
      <c r="K718" s="1329">
        <f t="shared" ref="K718:K721" si="263">IF(H718&gt;=0,0,"C70&gt;=0")</f>
        <v>0</v>
      </c>
      <c r="L718" s="1329"/>
      <c r="M718" s="1335">
        <f t="shared" ref="M718:M721" si="264">IF(G718&lt;=1,0,"c60&lt;=1")</f>
        <v>0</v>
      </c>
      <c r="N718" s="1335">
        <f t="shared" si="237"/>
        <v>0</v>
      </c>
      <c r="O718" s="1335"/>
      <c r="P718" s="1315"/>
      <c r="Q718" s="1315"/>
      <c r="R718" s="1315"/>
      <c r="S718" s="1315"/>
      <c r="T718" s="1315"/>
      <c r="U718" s="1315"/>
    </row>
    <row r="719" spans="2:21">
      <c r="B719" s="1946"/>
      <c r="C719" s="1946"/>
      <c r="D719" s="1946"/>
      <c r="E719" s="1946"/>
      <c r="F719" s="1946"/>
      <c r="G719" s="1947"/>
      <c r="H719" s="1948"/>
      <c r="I719" s="1949"/>
      <c r="J719" s="1329">
        <f t="shared" si="262"/>
        <v>0</v>
      </c>
      <c r="K719" s="1329">
        <f t="shared" si="263"/>
        <v>0</v>
      </c>
      <c r="L719" s="1329"/>
      <c r="M719" s="1335">
        <f t="shared" si="264"/>
        <v>0</v>
      </c>
      <c r="N719" s="1335">
        <f t="shared" si="237"/>
        <v>0</v>
      </c>
      <c r="O719" s="1335"/>
      <c r="P719" s="1315"/>
      <c r="Q719" s="1315"/>
      <c r="R719" s="1315"/>
      <c r="S719" s="1315"/>
      <c r="T719" s="1315"/>
      <c r="U719" s="1315"/>
    </row>
    <row r="720" spans="2:21">
      <c r="B720" s="1946"/>
      <c r="C720" s="1946"/>
      <c r="D720" s="1946"/>
      <c r="E720" s="1946"/>
      <c r="F720" s="1946"/>
      <c r="G720" s="1947"/>
      <c r="H720" s="1948"/>
      <c r="I720" s="1949"/>
      <c r="J720" s="1329">
        <f t="shared" si="262"/>
        <v>0</v>
      </c>
      <c r="K720" s="1329">
        <f t="shared" si="263"/>
        <v>0</v>
      </c>
      <c r="L720" s="1329"/>
      <c r="M720" s="1335">
        <f t="shared" si="264"/>
        <v>0</v>
      </c>
      <c r="N720" s="1335">
        <f t="shared" si="237"/>
        <v>0</v>
      </c>
      <c r="O720" s="1335"/>
      <c r="P720" s="1315"/>
      <c r="Q720" s="1315"/>
      <c r="R720" s="1315"/>
      <c r="S720" s="1315"/>
      <c r="T720" s="1315"/>
      <c r="U720" s="1315"/>
    </row>
    <row r="721" spans="2:21">
      <c r="B721" s="1946"/>
      <c r="C721" s="1946"/>
      <c r="D721" s="1946"/>
      <c r="E721" s="1946"/>
      <c r="F721" s="1946"/>
      <c r="G721" s="1947"/>
      <c r="H721" s="1948"/>
      <c r="I721" s="1949"/>
      <c r="J721" s="1329">
        <f t="shared" si="262"/>
        <v>0</v>
      </c>
      <c r="K721" s="1329">
        <f t="shared" si="263"/>
        <v>0</v>
      </c>
      <c r="L721" s="1329"/>
      <c r="M721" s="1335">
        <f t="shared" si="264"/>
        <v>0</v>
      </c>
      <c r="N721" s="1335">
        <f t="shared" si="237"/>
        <v>0</v>
      </c>
      <c r="O721" s="1335"/>
      <c r="P721" s="1315"/>
      <c r="Q721" s="1315"/>
      <c r="R721" s="1315"/>
      <c r="S721" s="1315"/>
      <c r="T721" s="1315"/>
      <c r="U721" s="1315"/>
    </row>
    <row r="722" spans="2:21">
      <c r="B722" s="1946"/>
      <c r="C722" s="1946"/>
      <c r="D722" s="1946"/>
      <c r="E722" s="1946"/>
      <c r="F722" s="1946"/>
      <c r="G722" s="1947"/>
      <c r="H722" s="1948"/>
      <c r="I722" s="1949"/>
      <c r="J722" s="1329">
        <f>IF(G722&gt;=0,0,"C60&gt;=0")</f>
        <v>0</v>
      </c>
      <c r="K722" s="1329">
        <f>IF(H722&gt;=0,0,"C70&gt;=0")</f>
        <v>0</v>
      </c>
      <c r="L722" s="1329"/>
      <c r="M722" s="1335">
        <f>IF(G722&lt;=1,0,"c60&lt;=1")</f>
        <v>0</v>
      </c>
      <c r="N722" s="1335">
        <f>IF(($G722*100)&gt;100,"C60 Invalid value greater than 100",IF(($G722*100)&lt;&gt;ROUND(($G722*100),2),($G722*100)&amp;": C60 Invalid no. of decimals",0))</f>
        <v>0</v>
      </c>
      <c r="O722" s="1335"/>
      <c r="P722" s="1315"/>
      <c r="Q722" s="1315"/>
      <c r="R722" s="1315"/>
      <c r="S722" s="1315"/>
      <c r="T722" s="1315"/>
      <c r="U722" s="1315"/>
    </row>
    <row r="723" spans="2:21">
      <c r="B723" s="1946"/>
      <c r="C723" s="1946"/>
      <c r="D723" s="1946"/>
      <c r="E723" s="1946"/>
      <c r="F723" s="1946"/>
      <c r="G723" s="1947"/>
      <c r="H723" s="1948"/>
      <c r="I723" s="1949"/>
      <c r="J723" s="1329">
        <f t="shared" ref="J723:J726" si="265">IF(G723&gt;=0,0,"C60&gt;=0")</f>
        <v>0</v>
      </c>
      <c r="K723" s="1329">
        <f t="shared" ref="K723:K726" si="266">IF(H723&gt;=0,0,"C70&gt;=0")</f>
        <v>0</v>
      </c>
      <c r="L723" s="1329"/>
      <c r="M723" s="1335">
        <f t="shared" ref="M723:M726" si="267">IF(G723&lt;=1,0,"c60&lt;=1")</f>
        <v>0</v>
      </c>
      <c r="N723" s="1335">
        <f t="shared" si="237"/>
        <v>0</v>
      </c>
      <c r="O723" s="1335"/>
      <c r="P723" s="1315"/>
      <c r="Q723" s="1315"/>
      <c r="R723" s="1315"/>
      <c r="S723" s="1315"/>
      <c r="T723" s="1315"/>
      <c r="U723" s="1315"/>
    </row>
    <row r="724" spans="2:21">
      <c r="B724" s="1946"/>
      <c r="C724" s="1946"/>
      <c r="D724" s="1946"/>
      <c r="E724" s="1946"/>
      <c r="F724" s="1946"/>
      <c r="G724" s="1947"/>
      <c r="H724" s="1948"/>
      <c r="I724" s="1949"/>
      <c r="J724" s="1329">
        <f t="shared" si="265"/>
        <v>0</v>
      </c>
      <c r="K724" s="1329">
        <f t="shared" si="266"/>
        <v>0</v>
      </c>
      <c r="L724" s="1329"/>
      <c r="M724" s="1335">
        <f t="shared" si="267"/>
        <v>0</v>
      </c>
      <c r="N724" s="1335">
        <f t="shared" si="237"/>
        <v>0</v>
      </c>
      <c r="O724" s="1335"/>
      <c r="P724" s="1315"/>
      <c r="Q724" s="1315"/>
      <c r="R724" s="1315"/>
      <c r="S724" s="1315"/>
      <c r="T724" s="1315"/>
      <c r="U724" s="1315"/>
    </row>
    <row r="725" spans="2:21">
      <c r="B725" s="1946"/>
      <c r="C725" s="1946"/>
      <c r="D725" s="1946"/>
      <c r="E725" s="1946"/>
      <c r="F725" s="1946"/>
      <c r="G725" s="1947"/>
      <c r="H725" s="1948"/>
      <c r="I725" s="1949"/>
      <c r="J725" s="1329">
        <f t="shared" si="265"/>
        <v>0</v>
      </c>
      <c r="K725" s="1329">
        <f t="shared" si="266"/>
        <v>0</v>
      </c>
      <c r="L725" s="1329"/>
      <c r="M725" s="1335">
        <f t="shared" si="267"/>
        <v>0</v>
      </c>
      <c r="N725" s="1335">
        <f t="shared" si="237"/>
        <v>0</v>
      </c>
      <c r="O725" s="1335"/>
      <c r="P725" s="1315"/>
      <c r="Q725" s="1315"/>
      <c r="R725" s="1315"/>
      <c r="S725" s="1315"/>
      <c r="T725" s="1315"/>
      <c r="U725" s="1315"/>
    </row>
    <row r="726" spans="2:21">
      <c r="B726" s="1946"/>
      <c r="C726" s="1946"/>
      <c r="D726" s="1946"/>
      <c r="E726" s="1946"/>
      <c r="F726" s="1946"/>
      <c r="G726" s="1947"/>
      <c r="H726" s="1948"/>
      <c r="I726" s="1949"/>
      <c r="J726" s="1329">
        <f t="shared" si="265"/>
        <v>0</v>
      </c>
      <c r="K726" s="1329">
        <f t="shared" si="266"/>
        <v>0</v>
      </c>
      <c r="L726" s="1329"/>
      <c r="M726" s="1335">
        <f t="shared" si="267"/>
        <v>0</v>
      </c>
      <c r="N726" s="1335">
        <f t="shared" si="237"/>
        <v>0</v>
      </c>
      <c r="O726" s="1335"/>
      <c r="P726" s="1315"/>
      <c r="Q726" s="1315"/>
      <c r="R726" s="1315"/>
      <c r="S726" s="1315"/>
      <c r="T726" s="1315"/>
      <c r="U726" s="1315"/>
    </row>
    <row r="727" spans="2:21">
      <c r="B727" s="1946"/>
      <c r="C727" s="1946"/>
      <c r="D727" s="1946"/>
      <c r="E727" s="1946"/>
      <c r="F727" s="1946"/>
      <c r="G727" s="1947"/>
      <c r="H727" s="1948"/>
      <c r="I727" s="1949"/>
      <c r="J727" s="1329">
        <f>IF(G727&gt;=0,0,"C60&gt;=0")</f>
        <v>0</v>
      </c>
      <c r="K727" s="1329">
        <f>IF(H727&gt;=0,0,"C70&gt;=0")</f>
        <v>0</v>
      </c>
      <c r="L727" s="1329"/>
      <c r="M727" s="1335">
        <f>IF(G727&lt;=1,0,"c60&lt;=1")</f>
        <v>0</v>
      </c>
      <c r="N727" s="1335">
        <f>IF(($G727*100)&gt;100,"C60 Invalid value greater than 100",IF(($G727*100)&lt;&gt;ROUND(($G727*100),2),($G727*100)&amp;": C60 Invalid no. of decimals",0))</f>
        <v>0</v>
      </c>
      <c r="O727" s="1335"/>
      <c r="P727" s="1315"/>
      <c r="Q727" s="1315"/>
      <c r="R727" s="1315"/>
      <c r="S727" s="1315"/>
      <c r="T727" s="1315"/>
      <c r="U727" s="1315"/>
    </row>
    <row r="728" spans="2:21">
      <c r="B728" s="1946"/>
      <c r="C728" s="1946"/>
      <c r="D728" s="1946"/>
      <c r="E728" s="1946"/>
      <c r="F728" s="1946"/>
      <c r="G728" s="1947"/>
      <c r="H728" s="1948"/>
      <c r="I728" s="1949"/>
      <c r="J728" s="1329">
        <f t="shared" ref="J728:J731" si="268">IF(G728&gt;=0,0,"C60&gt;=0")</f>
        <v>0</v>
      </c>
      <c r="K728" s="1329">
        <f t="shared" ref="K728:K731" si="269">IF(H728&gt;=0,0,"C70&gt;=0")</f>
        <v>0</v>
      </c>
      <c r="L728" s="1329"/>
      <c r="M728" s="1335">
        <f t="shared" ref="M728:M731" si="270">IF(G728&lt;=1,0,"c60&lt;=1")</f>
        <v>0</v>
      </c>
      <c r="N728" s="1335">
        <f t="shared" si="237"/>
        <v>0</v>
      </c>
      <c r="O728" s="1335"/>
      <c r="P728" s="1315"/>
      <c r="Q728" s="1315"/>
      <c r="R728" s="1315"/>
      <c r="S728" s="1315"/>
      <c r="T728" s="1315"/>
      <c r="U728" s="1315"/>
    </row>
    <row r="729" spans="2:21">
      <c r="B729" s="1946"/>
      <c r="C729" s="1946"/>
      <c r="D729" s="1946"/>
      <c r="E729" s="1946"/>
      <c r="F729" s="1946"/>
      <c r="G729" s="1947"/>
      <c r="H729" s="1948"/>
      <c r="I729" s="1949"/>
      <c r="J729" s="1329">
        <f t="shared" si="268"/>
        <v>0</v>
      </c>
      <c r="K729" s="1329">
        <f t="shared" si="269"/>
        <v>0</v>
      </c>
      <c r="L729" s="1329"/>
      <c r="M729" s="1335">
        <f t="shared" si="270"/>
        <v>0</v>
      </c>
      <c r="N729" s="1335">
        <f t="shared" si="237"/>
        <v>0</v>
      </c>
      <c r="O729" s="1335"/>
      <c r="P729" s="1315"/>
      <c r="Q729" s="1315"/>
      <c r="R729" s="1315"/>
      <c r="S729" s="1315"/>
      <c r="T729" s="1315"/>
      <c r="U729" s="1315"/>
    </row>
    <row r="730" spans="2:21">
      <c r="B730" s="1946"/>
      <c r="C730" s="1946"/>
      <c r="D730" s="1946"/>
      <c r="E730" s="1946"/>
      <c r="F730" s="1946"/>
      <c r="G730" s="1947"/>
      <c r="H730" s="1948"/>
      <c r="I730" s="1949"/>
      <c r="J730" s="1329">
        <f t="shared" si="268"/>
        <v>0</v>
      </c>
      <c r="K730" s="1329">
        <f t="shared" si="269"/>
        <v>0</v>
      </c>
      <c r="L730" s="1329"/>
      <c r="M730" s="1335">
        <f t="shared" si="270"/>
        <v>0</v>
      </c>
      <c r="N730" s="1335">
        <f t="shared" si="237"/>
        <v>0</v>
      </c>
      <c r="O730" s="1335"/>
      <c r="P730" s="1315"/>
      <c r="Q730" s="1315"/>
      <c r="R730" s="1315"/>
      <c r="S730" s="1315"/>
      <c r="T730" s="1315"/>
      <c r="U730" s="1315"/>
    </row>
    <row r="731" spans="2:21">
      <c r="B731" s="1946"/>
      <c r="C731" s="1946"/>
      <c r="D731" s="1946"/>
      <c r="E731" s="1946"/>
      <c r="F731" s="1946"/>
      <c r="G731" s="1947"/>
      <c r="H731" s="1948"/>
      <c r="I731" s="1949"/>
      <c r="J731" s="1329">
        <f t="shared" si="268"/>
        <v>0</v>
      </c>
      <c r="K731" s="1329">
        <f t="shared" si="269"/>
        <v>0</v>
      </c>
      <c r="L731" s="1329"/>
      <c r="M731" s="1335">
        <f t="shared" si="270"/>
        <v>0</v>
      </c>
      <c r="N731" s="1335">
        <f t="shared" si="237"/>
        <v>0</v>
      </c>
      <c r="O731" s="1335"/>
      <c r="P731" s="1315"/>
      <c r="Q731" s="1315"/>
      <c r="R731" s="1315"/>
      <c r="S731" s="1315"/>
      <c r="T731" s="1315"/>
      <c r="U731" s="1315"/>
    </row>
    <row r="732" spans="2:21">
      <c r="B732" s="1946"/>
      <c r="C732" s="1946"/>
      <c r="D732" s="1946"/>
      <c r="E732" s="1946"/>
      <c r="F732" s="1946"/>
      <c r="G732" s="1947"/>
      <c r="H732" s="1948"/>
      <c r="I732" s="1949"/>
      <c r="J732" s="1329">
        <f>IF(G732&gt;=0,0,"C60&gt;=0")</f>
        <v>0</v>
      </c>
      <c r="K732" s="1329">
        <f>IF(H732&gt;=0,0,"C70&gt;=0")</f>
        <v>0</v>
      </c>
      <c r="L732" s="1329"/>
      <c r="M732" s="1335">
        <f>IF(G732&lt;=1,0,"c60&lt;=1")</f>
        <v>0</v>
      </c>
      <c r="N732" s="1335">
        <f>IF(($G732*100)&gt;100,"C60 Invalid value greater than 100",IF(($G732*100)&lt;&gt;ROUND(($G732*100),2),($G732*100)&amp;": C60 Invalid no. of decimals",0))</f>
        <v>0</v>
      </c>
      <c r="O732" s="1335"/>
      <c r="P732" s="1315"/>
      <c r="Q732" s="1315"/>
      <c r="R732" s="1315"/>
      <c r="S732" s="1315"/>
      <c r="T732" s="1315"/>
      <c r="U732" s="1315"/>
    </row>
    <row r="733" spans="2:21">
      <c r="B733" s="1946"/>
      <c r="C733" s="1946"/>
      <c r="D733" s="1946"/>
      <c r="E733" s="1946"/>
      <c r="F733" s="1946"/>
      <c r="G733" s="1947"/>
      <c r="H733" s="1948"/>
      <c r="I733" s="1949"/>
      <c r="J733" s="1329">
        <f t="shared" ref="J733:J736" si="271">IF(G733&gt;=0,0,"C60&gt;=0")</f>
        <v>0</v>
      </c>
      <c r="K733" s="1329">
        <f t="shared" ref="K733:K736" si="272">IF(H733&gt;=0,0,"C70&gt;=0")</f>
        <v>0</v>
      </c>
      <c r="L733" s="1329"/>
      <c r="M733" s="1335">
        <f t="shared" ref="M733:M736" si="273">IF(G733&lt;=1,0,"c60&lt;=1")</f>
        <v>0</v>
      </c>
      <c r="N733" s="1335">
        <f t="shared" si="237"/>
        <v>0</v>
      </c>
      <c r="O733" s="1335"/>
      <c r="P733" s="1315"/>
      <c r="Q733" s="1315"/>
      <c r="R733" s="1315"/>
      <c r="S733" s="1315"/>
      <c r="T733" s="1315"/>
      <c r="U733" s="1315"/>
    </row>
    <row r="734" spans="2:21">
      <c r="B734" s="1946"/>
      <c r="C734" s="1946"/>
      <c r="D734" s="1946"/>
      <c r="E734" s="1946"/>
      <c r="F734" s="1946"/>
      <c r="G734" s="1947"/>
      <c r="H734" s="1948"/>
      <c r="I734" s="1949"/>
      <c r="J734" s="1329">
        <f t="shared" si="271"/>
        <v>0</v>
      </c>
      <c r="K734" s="1329">
        <f t="shared" si="272"/>
        <v>0</v>
      </c>
      <c r="L734" s="1329"/>
      <c r="M734" s="1335">
        <f t="shared" si="273"/>
        <v>0</v>
      </c>
      <c r="N734" s="1335">
        <f t="shared" si="237"/>
        <v>0</v>
      </c>
      <c r="O734" s="1335"/>
      <c r="P734" s="1315"/>
      <c r="Q734" s="1315"/>
      <c r="R734" s="1315"/>
      <c r="S734" s="1315"/>
      <c r="T734" s="1315"/>
      <c r="U734" s="1315"/>
    </row>
    <row r="735" spans="2:21">
      <c r="B735" s="1946"/>
      <c r="C735" s="1946"/>
      <c r="D735" s="1946"/>
      <c r="E735" s="1946"/>
      <c r="F735" s="1946"/>
      <c r="G735" s="1947"/>
      <c r="H735" s="1948"/>
      <c r="I735" s="1949"/>
      <c r="J735" s="1329">
        <f t="shared" si="271"/>
        <v>0</v>
      </c>
      <c r="K735" s="1329">
        <f t="shared" si="272"/>
        <v>0</v>
      </c>
      <c r="L735" s="1329"/>
      <c r="M735" s="1335">
        <f t="shared" si="273"/>
        <v>0</v>
      </c>
      <c r="N735" s="1335">
        <f t="shared" si="237"/>
        <v>0</v>
      </c>
      <c r="O735" s="1335"/>
      <c r="P735" s="1315"/>
      <c r="Q735" s="1315"/>
      <c r="R735" s="1315"/>
      <c r="S735" s="1315"/>
      <c r="T735" s="1315"/>
      <c r="U735" s="1315"/>
    </row>
    <row r="736" spans="2:21">
      <c r="B736" s="1946"/>
      <c r="C736" s="1946"/>
      <c r="D736" s="1946"/>
      <c r="E736" s="1946"/>
      <c r="F736" s="1946"/>
      <c r="G736" s="1947"/>
      <c r="H736" s="1948"/>
      <c r="I736" s="1949"/>
      <c r="J736" s="1329">
        <f t="shared" si="271"/>
        <v>0</v>
      </c>
      <c r="K736" s="1329">
        <f t="shared" si="272"/>
        <v>0</v>
      </c>
      <c r="L736" s="1329"/>
      <c r="M736" s="1335">
        <f t="shared" si="273"/>
        <v>0</v>
      </c>
      <c r="N736" s="1335">
        <f t="shared" si="237"/>
        <v>0</v>
      </c>
      <c r="O736" s="1335"/>
      <c r="P736" s="1315"/>
      <c r="Q736" s="1315"/>
      <c r="R736" s="1315"/>
      <c r="S736" s="1315"/>
      <c r="T736" s="1315"/>
      <c r="U736" s="1315"/>
    </row>
    <row r="737" spans="2:21">
      <c r="B737" s="1946"/>
      <c r="C737" s="1946"/>
      <c r="D737" s="1946"/>
      <c r="E737" s="1946"/>
      <c r="F737" s="1946"/>
      <c r="G737" s="1947"/>
      <c r="H737" s="1948"/>
      <c r="I737" s="1949"/>
      <c r="J737" s="1329">
        <f>IF(G737&gt;=0,0,"C60&gt;=0")</f>
        <v>0</v>
      </c>
      <c r="K737" s="1329">
        <f>IF(H737&gt;=0,0,"C70&gt;=0")</f>
        <v>0</v>
      </c>
      <c r="L737" s="1329"/>
      <c r="M737" s="1335">
        <f>IF(G737&lt;=1,0,"c60&lt;=1")</f>
        <v>0</v>
      </c>
      <c r="N737" s="1335">
        <f>IF(($G737*100)&gt;100,"C60 Invalid value greater than 100",IF(($G737*100)&lt;&gt;ROUND(($G737*100),2),($G737*100)&amp;": C60 Invalid no. of decimals",0))</f>
        <v>0</v>
      </c>
      <c r="O737" s="1335"/>
      <c r="P737" s="1315"/>
      <c r="Q737" s="1315"/>
      <c r="R737" s="1315"/>
      <c r="S737" s="1315"/>
      <c r="T737" s="1315"/>
      <c r="U737" s="1315"/>
    </row>
    <row r="738" spans="2:21">
      <c r="B738" s="1946"/>
      <c r="C738" s="1946"/>
      <c r="D738" s="1946"/>
      <c r="E738" s="1946"/>
      <c r="F738" s="1946"/>
      <c r="G738" s="1947"/>
      <c r="H738" s="1948"/>
      <c r="I738" s="1949"/>
      <c r="J738" s="1329">
        <f t="shared" ref="J738:J741" si="274">IF(G738&gt;=0,0,"C60&gt;=0")</f>
        <v>0</v>
      </c>
      <c r="K738" s="1329">
        <f t="shared" ref="K738:K741" si="275">IF(H738&gt;=0,0,"C70&gt;=0")</f>
        <v>0</v>
      </c>
      <c r="L738" s="1329"/>
      <c r="M738" s="1335">
        <f t="shared" ref="M738:M741" si="276">IF(G738&lt;=1,0,"c60&lt;=1")</f>
        <v>0</v>
      </c>
      <c r="N738" s="1335">
        <f t="shared" ref="N738:N852" si="277">IF(($G738*100)&gt;100,"C60 Invalid value greater than 100",IF(($G738*100)&lt;&gt;ROUND(($G738*100),2),($G738*100)&amp;": C60 Invalid no. of decimals",0))</f>
        <v>0</v>
      </c>
      <c r="O738" s="1335"/>
      <c r="P738" s="1315"/>
      <c r="Q738" s="1315"/>
      <c r="R738" s="1315"/>
      <c r="S738" s="1315"/>
      <c r="T738" s="1315"/>
      <c r="U738" s="1315"/>
    </row>
    <row r="739" spans="2:21">
      <c r="B739" s="1946"/>
      <c r="C739" s="1946"/>
      <c r="D739" s="1946"/>
      <c r="E739" s="1946"/>
      <c r="F739" s="1946"/>
      <c r="G739" s="1947"/>
      <c r="H739" s="1948"/>
      <c r="I739" s="1949"/>
      <c r="J739" s="1329">
        <f t="shared" si="274"/>
        <v>0</v>
      </c>
      <c r="K739" s="1329">
        <f t="shared" si="275"/>
        <v>0</v>
      </c>
      <c r="L739" s="1329"/>
      <c r="M739" s="1335">
        <f t="shared" si="276"/>
        <v>0</v>
      </c>
      <c r="N739" s="1335">
        <f t="shared" si="277"/>
        <v>0</v>
      </c>
      <c r="O739" s="1335"/>
      <c r="P739" s="1315"/>
      <c r="Q739" s="1315"/>
      <c r="R739" s="1315"/>
      <c r="S739" s="1315"/>
      <c r="T739" s="1315"/>
      <c r="U739" s="1315"/>
    </row>
    <row r="740" spans="2:21">
      <c r="B740" s="1946"/>
      <c r="C740" s="1946"/>
      <c r="D740" s="1946"/>
      <c r="E740" s="1946"/>
      <c r="F740" s="1946"/>
      <c r="G740" s="1947"/>
      <c r="H740" s="1948"/>
      <c r="I740" s="1949"/>
      <c r="J740" s="1329">
        <f t="shared" si="274"/>
        <v>0</v>
      </c>
      <c r="K740" s="1329">
        <f t="shared" si="275"/>
        <v>0</v>
      </c>
      <c r="L740" s="1329"/>
      <c r="M740" s="1335">
        <f t="shared" si="276"/>
        <v>0</v>
      </c>
      <c r="N740" s="1335">
        <f t="shared" si="277"/>
        <v>0</v>
      </c>
      <c r="O740" s="1335"/>
      <c r="P740" s="1315"/>
      <c r="Q740" s="1315"/>
      <c r="R740" s="1315"/>
      <c r="S740" s="1315"/>
      <c r="T740" s="1315"/>
      <c r="U740" s="1315"/>
    </row>
    <row r="741" spans="2:21">
      <c r="B741" s="1946"/>
      <c r="C741" s="1946"/>
      <c r="D741" s="1946"/>
      <c r="E741" s="1946"/>
      <c r="F741" s="1946"/>
      <c r="G741" s="1947"/>
      <c r="H741" s="1948"/>
      <c r="I741" s="1949"/>
      <c r="J741" s="1329">
        <f t="shared" si="274"/>
        <v>0</v>
      </c>
      <c r="K741" s="1329">
        <f t="shared" si="275"/>
        <v>0</v>
      </c>
      <c r="L741" s="1329"/>
      <c r="M741" s="1335">
        <f t="shared" si="276"/>
        <v>0</v>
      </c>
      <c r="N741" s="1335">
        <f t="shared" si="277"/>
        <v>0</v>
      </c>
      <c r="O741" s="1335"/>
      <c r="P741" s="1315"/>
      <c r="Q741" s="1315"/>
      <c r="R741" s="1315"/>
      <c r="S741" s="1315"/>
      <c r="T741" s="1315"/>
      <c r="U741" s="1315"/>
    </row>
    <row r="742" spans="2:21">
      <c r="B742" s="1946"/>
      <c r="C742" s="1946"/>
      <c r="D742" s="1946"/>
      <c r="E742" s="1946"/>
      <c r="F742" s="1946"/>
      <c r="G742" s="1947"/>
      <c r="H742" s="1948"/>
      <c r="I742" s="1949"/>
      <c r="J742" s="1329">
        <f>IF(G742&gt;=0,0,"C60&gt;=0")</f>
        <v>0</v>
      </c>
      <c r="K742" s="1329">
        <f>IF(H742&gt;=0,0,"C70&gt;=0")</f>
        <v>0</v>
      </c>
      <c r="L742" s="1329"/>
      <c r="M742" s="1335">
        <f>IF(G742&lt;=1,0,"c60&lt;=1")</f>
        <v>0</v>
      </c>
      <c r="N742" s="1335">
        <f>IF(($G742*100)&gt;100,"C60 Invalid value greater than 100",IF(($G742*100)&lt;&gt;ROUND(($G742*100),2),($G742*100)&amp;": C60 Invalid no. of decimals",0))</f>
        <v>0</v>
      </c>
      <c r="O742" s="1335"/>
      <c r="P742" s="1315"/>
      <c r="Q742" s="1315"/>
      <c r="R742" s="1315"/>
      <c r="S742" s="1315"/>
      <c r="T742" s="1315"/>
      <c r="U742" s="1315"/>
    </row>
    <row r="743" spans="2:21">
      <c r="B743" s="1946"/>
      <c r="C743" s="1946"/>
      <c r="D743" s="1946"/>
      <c r="E743" s="1946"/>
      <c r="F743" s="1946"/>
      <c r="G743" s="1947"/>
      <c r="H743" s="1948"/>
      <c r="I743" s="1949"/>
      <c r="J743" s="1329">
        <f t="shared" ref="J743:J746" si="278">IF(G743&gt;=0,0,"C60&gt;=0")</f>
        <v>0</v>
      </c>
      <c r="K743" s="1329">
        <f t="shared" ref="K743:K746" si="279">IF(H743&gt;=0,0,"C70&gt;=0")</f>
        <v>0</v>
      </c>
      <c r="L743" s="1329"/>
      <c r="M743" s="1335">
        <f t="shared" ref="M743:M746" si="280">IF(G743&lt;=1,0,"c60&lt;=1")</f>
        <v>0</v>
      </c>
      <c r="N743" s="1335">
        <f t="shared" si="277"/>
        <v>0</v>
      </c>
      <c r="O743" s="1335"/>
      <c r="P743" s="1315"/>
      <c r="Q743" s="1315"/>
      <c r="R743" s="1315"/>
      <c r="S743" s="1315"/>
      <c r="T743" s="1315"/>
      <c r="U743" s="1315"/>
    </row>
    <row r="744" spans="2:21">
      <c r="B744" s="1946"/>
      <c r="C744" s="1946"/>
      <c r="D744" s="1946"/>
      <c r="E744" s="1946"/>
      <c r="F744" s="1946"/>
      <c r="G744" s="1947"/>
      <c r="H744" s="1948"/>
      <c r="I744" s="1949"/>
      <c r="J744" s="1329">
        <f t="shared" si="278"/>
        <v>0</v>
      </c>
      <c r="K744" s="1329">
        <f t="shared" si="279"/>
        <v>0</v>
      </c>
      <c r="L744" s="1329"/>
      <c r="M744" s="1335">
        <f t="shared" si="280"/>
        <v>0</v>
      </c>
      <c r="N744" s="1335">
        <f t="shared" si="277"/>
        <v>0</v>
      </c>
      <c r="O744" s="1335"/>
      <c r="P744" s="1315"/>
      <c r="Q744" s="1315"/>
      <c r="R744" s="1315"/>
      <c r="S744" s="1315"/>
      <c r="T744" s="1315"/>
      <c r="U744" s="1315"/>
    </row>
    <row r="745" spans="2:21">
      <c r="B745" s="1946"/>
      <c r="C745" s="1946"/>
      <c r="D745" s="1946"/>
      <c r="E745" s="1946"/>
      <c r="F745" s="1946"/>
      <c r="G745" s="1947"/>
      <c r="H745" s="1948"/>
      <c r="I745" s="1949"/>
      <c r="J745" s="1329">
        <f t="shared" si="278"/>
        <v>0</v>
      </c>
      <c r="K745" s="1329">
        <f t="shared" si="279"/>
        <v>0</v>
      </c>
      <c r="L745" s="1329"/>
      <c r="M745" s="1335">
        <f t="shared" si="280"/>
        <v>0</v>
      </c>
      <c r="N745" s="1335">
        <f t="shared" si="277"/>
        <v>0</v>
      </c>
      <c r="O745" s="1335"/>
      <c r="P745" s="1315"/>
      <c r="Q745" s="1315"/>
      <c r="R745" s="1315"/>
      <c r="S745" s="1315"/>
      <c r="T745" s="1315"/>
      <c r="U745" s="1315"/>
    </row>
    <row r="746" spans="2:21">
      <c r="B746" s="1946"/>
      <c r="C746" s="1946"/>
      <c r="D746" s="1946"/>
      <c r="E746" s="1946"/>
      <c r="F746" s="1946"/>
      <c r="G746" s="1947"/>
      <c r="H746" s="1948"/>
      <c r="I746" s="1949"/>
      <c r="J746" s="1329">
        <f t="shared" si="278"/>
        <v>0</v>
      </c>
      <c r="K746" s="1329">
        <f t="shared" si="279"/>
        <v>0</v>
      </c>
      <c r="L746" s="1329"/>
      <c r="M746" s="1335">
        <f t="shared" si="280"/>
        <v>0</v>
      </c>
      <c r="N746" s="1335">
        <f t="shared" si="277"/>
        <v>0</v>
      </c>
      <c r="O746" s="1335"/>
      <c r="P746" s="1315"/>
      <c r="Q746" s="1315"/>
      <c r="R746" s="1315"/>
      <c r="S746" s="1315"/>
      <c r="T746" s="1315"/>
      <c r="U746" s="1315"/>
    </row>
    <row r="747" spans="2:21">
      <c r="B747" s="1946"/>
      <c r="C747" s="1946"/>
      <c r="D747" s="1946"/>
      <c r="E747" s="1946"/>
      <c r="F747" s="1946"/>
      <c r="G747" s="1947"/>
      <c r="H747" s="1948"/>
      <c r="I747" s="1949"/>
      <c r="J747" s="1329">
        <f>IF(G747&gt;=0,0,"C60&gt;=0")</f>
        <v>0</v>
      </c>
      <c r="K747" s="1329">
        <f>IF(H747&gt;=0,0,"C70&gt;=0")</f>
        <v>0</v>
      </c>
      <c r="L747" s="1329"/>
      <c r="M747" s="1335">
        <f>IF(G747&lt;=1,0,"c60&lt;=1")</f>
        <v>0</v>
      </c>
      <c r="N747" s="1335">
        <f>IF(($G747*100)&gt;100,"C60 Invalid value greater than 100",IF(($G747*100)&lt;&gt;ROUND(($G747*100),2),($G747*100)&amp;": C60 Invalid no. of decimals",0))</f>
        <v>0</v>
      </c>
      <c r="O747" s="1335"/>
      <c r="P747" s="1315"/>
      <c r="Q747" s="1315"/>
      <c r="R747" s="1315"/>
      <c r="S747" s="1315"/>
      <c r="T747" s="1315"/>
      <c r="U747" s="1315"/>
    </row>
    <row r="748" spans="2:21">
      <c r="B748" s="1946"/>
      <c r="C748" s="1946"/>
      <c r="D748" s="1946"/>
      <c r="E748" s="1946"/>
      <c r="F748" s="1946"/>
      <c r="G748" s="1947"/>
      <c r="H748" s="1948"/>
      <c r="I748" s="1949"/>
      <c r="J748" s="1329">
        <f t="shared" ref="J748:J852" si="281">IF(G748&gt;=0,0,"C60&gt;=0")</f>
        <v>0</v>
      </c>
      <c r="K748" s="1329">
        <f t="shared" ref="K748:K852" si="282">IF(H748&gt;=0,0,"C70&gt;=0")</f>
        <v>0</v>
      </c>
      <c r="L748" s="1329"/>
      <c r="M748" s="1335">
        <f t="shared" ref="M748:M852" si="283">IF(G748&lt;=1,0,"c60&lt;=1")</f>
        <v>0</v>
      </c>
      <c r="N748" s="1335">
        <f t="shared" si="277"/>
        <v>0</v>
      </c>
      <c r="O748" s="1335"/>
      <c r="P748" s="1315"/>
      <c r="Q748" s="1315"/>
      <c r="R748" s="1315"/>
      <c r="S748" s="1315"/>
      <c r="T748" s="1315"/>
      <c r="U748" s="1315"/>
    </row>
    <row r="749" spans="2:21">
      <c r="B749" s="1946"/>
      <c r="C749" s="1946"/>
      <c r="D749" s="1946"/>
      <c r="E749" s="1946"/>
      <c r="F749" s="1946"/>
      <c r="G749" s="1947"/>
      <c r="H749" s="1948"/>
      <c r="I749" s="1949"/>
      <c r="J749" s="1329">
        <f t="shared" si="281"/>
        <v>0</v>
      </c>
      <c r="K749" s="1329">
        <f t="shared" si="282"/>
        <v>0</v>
      </c>
      <c r="L749" s="1329"/>
      <c r="M749" s="1335">
        <f t="shared" si="283"/>
        <v>0</v>
      </c>
      <c r="N749" s="1335">
        <f t="shared" si="277"/>
        <v>0</v>
      </c>
      <c r="O749" s="1335"/>
      <c r="P749" s="1315"/>
      <c r="Q749" s="1315"/>
      <c r="R749" s="1315"/>
      <c r="S749" s="1315"/>
      <c r="T749" s="1315"/>
      <c r="U749" s="1315"/>
    </row>
    <row r="750" spans="2:21">
      <c r="B750" s="1946"/>
      <c r="C750" s="1946"/>
      <c r="D750" s="1946"/>
      <c r="E750" s="1946"/>
      <c r="F750" s="1946"/>
      <c r="G750" s="1947"/>
      <c r="H750" s="1948"/>
      <c r="I750" s="1949"/>
      <c r="J750" s="1329">
        <f t="shared" si="281"/>
        <v>0</v>
      </c>
      <c r="K750" s="1329">
        <f t="shared" si="282"/>
        <v>0</v>
      </c>
      <c r="L750" s="1329"/>
      <c r="M750" s="1335">
        <f t="shared" si="283"/>
        <v>0</v>
      </c>
      <c r="N750" s="1335">
        <f t="shared" si="277"/>
        <v>0</v>
      </c>
      <c r="O750" s="1335"/>
      <c r="P750" s="1315"/>
      <c r="Q750" s="1315"/>
      <c r="R750" s="1315"/>
      <c r="S750" s="1315"/>
      <c r="T750" s="1315"/>
      <c r="U750" s="1315"/>
    </row>
    <row r="751" spans="2:21">
      <c r="B751" s="1946"/>
      <c r="C751" s="1946"/>
      <c r="D751" s="1946"/>
      <c r="E751" s="1946"/>
      <c r="F751" s="1946"/>
      <c r="G751" s="1947"/>
      <c r="H751" s="1948"/>
      <c r="I751" s="1949"/>
      <c r="J751" s="1329">
        <f t="shared" si="281"/>
        <v>0</v>
      </c>
      <c r="K751" s="1329">
        <f t="shared" si="282"/>
        <v>0</v>
      </c>
      <c r="L751" s="1329"/>
      <c r="M751" s="1335">
        <f t="shared" si="283"/>
        <v>0</v>
      </c>
      <c r="N751" s="1335">
        <f t="shared" si="277"/>
        <v>0</v>
      </c>
      <c r="O751" s="1335"/>
      <c r="P751" s="1315"/>
      <c r="Q751" s="1315"/>
      <c r="R751" s="1315"/>
      <c r="S751" s="1315"/>
      <c r="T751" s="1315"/>
      <c r="U751" s="1315"/>
    </row>
    <row r="752" spans="2:21">
      <c r="B752" s="1946"/>
      <c r="C752" s="1946"/>
      <c r="D752" s="1946"/>
      <c r="E752" s="1946"/>
      <c r="F752" s="1946"/>
      <c r="G752" s="1947"/>
      <c r="H752" s="1948"/>
      <c r="I752" s="1949"/>
      <c r="J752" s="1329">
        <f t="shared" si="281"/>
        <v>0</v>
      </c>
      <c r="K752" s="1329">
        <f t="shared" si="282"/>
        <v>0</v>
      </c>
      <c r="L752" s="1329"/>
      <c r="M752" s="1335">
        <f t="shared" si="283"/>
        <v>0</v>
      </c>
      <c r="N752" s="1335">
        <f t="shared" si="277"/>
        <v>0</v>
      </c>
      <c r="O752" s="1335"/>
      <c r="P752" s="1315"/>
      <c r="Q752" s="1315"/>
      <c r="R752" s="1315"/>
      <c r="S752" s="1315"/>
      <c r="T752" s="1315"/>
      <c r="U752" s="1315"/>
    </row>
    <row r="753" spans="2:21">
      <c r="B753" s="1946"/>
      <c r="C753" s="1946"/>
      <c r="D753" s="1946"/>
      <c r="E753" s="1946"/>
      <c r="F753" s="1946"/>
      <c r="G753" s="1947"/>
      <c r="H753" s="1948"/>
      <c r="I753" s="1949"/>
      <c r="J753" s="1329">
        <f>IF(G753&gt;=0,0,"C60&gt;=0")</f>
        <v>0</v>
      </c>
      <c r="K753" s="1329">
        <f>IF(H753&gt;=0,0,"C70&gt;=0")</f>
        <v>0</v>
      </c>
      <c r="L753" s="1329"/>
      <c r="M753" s="1335">
        <f>IF(G753&lt;=1,0,"c60&lt;=1")</f>
        <v>0</v>
      </c>
      <c r="N753" s="1335">
        <f>IF(($G753*100)&gt;100,"C60 Invalid value greater than 100",IF(($G753*100)&lt;&gt;ROUND(($G753*100),2),($G753*100)&amp;": C60 Invalid no. of decimals",0))</f>
        <v>0</v>
      </c>
      <c r="O753" s="1335"/>
      <c r="P753" s="1315"/>
      <c r="Q753" s="1315"/>
      <c r="R753" s="1315"/>
      <c r="S753" s="1315"/>
      <c r="T753" s="1315"/>
      <c r="U753" s="1315"/>
    </row>
    <row r="754" spans="2:21">
      <c r="B754" s="1946"/>
      <c r="C754" s="1946"/>
      <c r="D754" s="1946"/>
      <c r="E754" s="1946"/>
      <c r="F754" s="1946"/>
      <c r="G754" s="1947"/>
      <c r="H754" s="1948"/>
      <c r="I754" s="1949"/>
      <c r="J754" s="1329">
        <f t="shared" ref="J754:J757" si="284">IF(G754&gt;=0,0,"C60&gt;=0")</f>
        <v>0</v>
      </c>
      <c r="K754" s="1329">
        <f t="shared" ref="K754:K757" si="285">IF(H754&gt;=0,0,"C70&gt;=0")</f>
        <v>0</v>
      </c>
      <c r="L754" s="1329"/>
      <c r="M754" s="1335">
        <f t="shared" ref="M754:M757" si="286">IF(G754&lt;=1,0,"c60&lt;=1")</f>
        <v>0</v>
      </c>
      <c r="N754" s="1335">
        <f t="shared" si="277"/>
        <v>0</v>
      </c>
      <c r="O754" s="1335"/>
      <c r="P754" s="1315"/>
      <c r="Q754" s="1315"/>
      <c r="R754" s="1315"/>
      <c r="S754" s="1315"/>
      <c r="T754" s="1315"/>
      <c r="U754" s="1315"/>
    </row>
    <row r="755" spans="2:21">
      <c r="B755" s="1946"/>
      <c r="C755" s="1946"/>
      <c r="D755" s="1946"/>
      <c r="E755" s="1946"/>
      <c r="F755" s="1946"/>
      <c r="G755" s="1947"/>
      <c r="H755" s="1948"/>
      <c r="I755" s="1949"/>
      <c r="J755" s="1329">
        <f t="shared" si="284"/>
        <v>0</v>
      </c>
      <c r="K755" s="1329">
        <f t="shared" si="285"/>
        <v>0</v>
      </c>
      <c r="L755" s="1329"/>
      <c r="M755" s="1335">
        <f t="shared" si="286"/>
        <v>0</v>
      </c>
      <c r="N755" s="1335">
        <f t="shared" si="277"/>
        <v>0</v>
      </c>
      <c r="O755" s="1335"/>
      <c r="P755" s="1315"/>
      <c r="Q755" s="1315"/>
      <c r="R755" s="1315"/>
      <c r="S755" s="1315"/>
      <c r="T755" s="1315"/>
      <c r="U755" s="1315"/>
    </row>
    <row r="756" spans="2:21">
      <c r="B756" s="1946"/>
      <c r="C756" s="1946"/>
      <c r="D756" s="1946"/>
      <c r="E756" s="1946"/>
      <c r="F756" s="1946"/>
      <c r="G756" s="1947"/>
      <c r="H756" s="1948"/>
      <c r="I756" s="1949"/>
      <c r="J756" s="1329">
        <f t="shared" si="284"/>
        <v>0</v>
      </c>
      <c r="K756" s="1329">
        <f t="shared" si="285"/>
        <v>0</v>
      </c>
      <c r="L756" s="1329"/>
      <c r="M756" s="1335">
        <f t="shared" si="286"/>
        <v>0</v>
      </c>
      <c r="N756" s="1335">
        <f t="shared" si="277"/>
        <v>0</v>
      </c>
      <c r="O756" s="1335"/>
      <c r="P756" s="1315"/>
      <c r="Q756" s="1315"/>
      <c r="R756" s="1315"/>
      <c r="S756" s="1315"/>
      <c r="T756" s="1315"/>
      <c r="U756" s="1315"/>
    </row>
    <row r="757" spans="2:21">
      <c r="B757" s="1946"/>
      <c r="C757" s="1946"/>
      <c r="D757" s="1946"/>
      <c r="E757" s="1946"/>
      <c r="F757" s="1946"/>
      <c r="G757" s="1947"/>
      <c r="H757" s="1948"/>
      <c r="I757" s="1949"/>
      <c r="J757" s="1329">
        <f t="shared" si="284"/>
        <v>0</v>
      </c>
      <c r="K757" s="1329">
        <f t="shared" si="285"/>
        <v>0</v>
      </c>
      <c r="L757" s="1329"/>
      <c r="M757" s="1335">
        <f t="shared" si="286"/>
        <v>0</v>
      </c>
      <c r="N757" s="1335">
        <f t="shared" si="277"/>
        <v>0</v>
      </c>
      <c r="O757" s="1335"/>
      <c r="P757" s="1315"/>
      <c r="Q757" s="1315"/>
      <c r="R757" s="1315"/>
      <c r="S757" s="1315"/>
      <c r="T757" s="1315"/>
      <c r="U757" s="1315"/>
    </row>
    <row r="758" spans="2:21">
      <c r="B758" s="1946"/>
      <c r="C758" s="1946"/>
      <c r="D758" s="1946"/>
      <c r="E758" s="1946"/>
      <c r="F758" s="1946"/>
      <c r="G758" s="1947"/>
      <c r="H758" s="1948"/>
      <c r="I758" s="1949"/>
      <c r="J758" s="1329">
        <f>IF(G758&gt;=0,0,"C60&gt;=0")</f>
        <v>0</v>
      </c>
      <c r="K758" s="1329">
        <f>IF(H758&gt;=0,0,"C70&gt;=0")</f>
        <v>0</v>
      </c>
      <c r="L758" s="1329"/>
      <c r="M758" s="1335">
        <f>IF(G758&lt;=1,0,"c60&lt;=1")</f>
        <v>0</v>
      </c>
      <c r="N758" s="1335">
        <f>IF(($G758*100)&gt;100,"C60 Invalid value greater than 100",IF(($G758*100)&lt;&gt;ROUND(($G758*100),2),($G758*100)&amp;": C60 Invalid no. of decimals",0))</f>
        <v>0</v>
      </c>
      <c r="O758" s="1335"/>
      <c r="P758" s="1315"/>
      <c r="Q758" s="1315"/>
      <c r="R758" s="1315"/>
      <c r="S758" s="1315"/>
      <c r="T758" s="1315"/>
      <c r="U758" s="1315"/>
    </row>
    <row r="759" spans="2:21">
      <c r="B759" s="1946"/>
      <c r="C759" s="1946"/>
      <c r="D759" s="1946"/>
      <c r="E759" s="1946"/>
      <c r="F759" s="1946"/>
      <c r="G759" s="1947"/>
      <c r="H759" s="1948"/>
      <c r="I759" s="1949"/>
      <c r="J759" s="1329">
        <f t="shared" ref="J759:J762" si="287">IF(G759&gt;=0,0,"C60&gt;=0")</f>
        <v>0</v>
      </c>
      <c r="K759" s="1329">
        <f t="shared" ref="K759:K762" si="288">IF(H759&gt;=0,0,"C70&gt;=0")</f>
        <v>0</v>
      </c>
      <c r="L759" s="1329"/>
      <c r="M759" s="1335">
        <f t="shared" ref="M759:M762" si="289">IF(G759&lt;=1,0,"c60&lt;=1")</f>
        <v>0</v>
      </c>
      <c r="N759" s="1335">
        <f t="shared" ref="N759:N772" si="290">IF(($G759*100)&gt;100,"C60 Invalid value greater than 100",IF(($G759*100)&lt;&gt;ROUND(($G759*100),2),($G759*100)&amp;": C60 Invalid no. of decimals",0))</f>
        <v>0</v>
      </c>
      <c r="O759" s="1335"/>
      <c r="P759" s="1315"/>
      <c r="Q759" s="1315"/>
      <c r="R759" s="1315"/>
      <c r="S759" s="1315"/>
      <c r="T759" s="1315"/>
      <c r="U759" s="1315"/>
    </row>
    <row r="760" spans="2:21">
      <c r="B760" s="1946"/>
      <c r="C760" s="1946"/>
      <c r="D760" s="1946"/>
      <c r="E760" s="1946"/>
      <c r="F760" s="1946"/>
      <c r="G760" s="1947"/>
      <c r="H760" s="1948"/>
      <c r="I760" s="1949"/>
      <c r="J760" s="1329">
        <f t="shared" si="287"/>
        <v>0</v>
      </c>
      <c r="K760" s="1329">
        <f t="shared" si="288"/>
        <v>0</v>
      </c>
      <c r="L760" s="1329"/>
      <c r="M760" s="1335">
        <f t="shared" si="289"/>
        <v>0</v>
      </c>
      <c r="N760" s="1335">
        <f t="shared" si="290"/>
        <v>0</v>
      </c>
      <c r="O760" s="1335"/>
      <c r="P760" s="1315"/>
      <c r="Q760" s="1315"/>
      <c r="R760" s="1315"/>
      <c r="S760" s="1315"/>
      <c r="T760" s="1315"/>
      <c r="U760" s="1315"/>
    </row>
    <row r="761" spans="2:21">
      <c r="B761" s="1946"/>
      <c r="C761" s="1946"/>
      <c r="D761" s="1946"/>
      <c r="E761" s="1946"/>
      <c r="F761" s="1946"/>
      <c r="G761" s="1947"/>
      <c r="H761" s="1948"/>
      <c r="I761" s="1949"/>
      <c r="J761" s="1329">
        <f t="shared" si="287"/>
        <v>0</v>
      </c>
      <c r="K761" s="1329">
        <f t="shared" si="288"/>
        <v>0</v>
      </c>
      <c r="L761" s="1329"/>
      <c r="M761" s="1335">
        <f t="shared" si="289"/>
        <v>0</v>
      </c>
      <c r="N761" s="1335">
        <f t="shared" si="290"/>
        <v>0</v>
      </c>
      <c r="O761" s="1335"/>
      <c r="P761" s="1315"/>
      <c r="Q761" s="1315"/>
      <c r="R761" s="1315"/>
      <c r="S761" s="1315"/>
      <c r="T761" s="1315"/>
      <c r="U761" s="1315"/>
    </row>
    <row r="762" spans="2:21">
      <c r="B762" s="1946"/>
      <c r="C762" s="1946"/>
      <c r="D762" s="1946"/>
      <c r="E762" s="1946"/>
      <c r="F762" s="1946"/>
      <c r="G762" s="1947"/>
      <c r="H762" s="1948"/>
      <c r="I762" s="1949"/>
      <c r="J762" s="1329">
        <f t="shared" si="287"/>
        <v>0</v>
      </c>
      <c r="K762" s="1329">
        <f t="shared" si="288"/>
        <v>0</v>
      </c>
      <c r="L762" s="1329"/>
      <c r="M762" s="1335">
        <f t="shared" si="289"/>
        <v>0</v>
      </c>
      <c r="N762" s="1335">
        <f t="shared" si="290"/>
        <v>0</v>
      </c>
      <c r="O762" s="1335"/>
      <c r="P762" s="1315"/>
      <c r="Q762" s="1315"/>
      <c r="R762" s="1315"/>
      <c r="S762" s="1315"/>
      <c r="T762" s="1315"/>
      <c r="U762" s="1315"/>
    </row>
    <row r="763" spans="2:21">
      <c r="B763" s="1946"/>
      <c r="C763" s="1946"/>
      <c r="D763" s="1946"/>
      <c r="E763" s="1946"/>
      <c r="F763" s="1946"/>
      <c r="G763" s="1947"/>
      <c r="H763" s="1948"/>
      <c r="I763" s="1949"/>
      <c r="J763" s="1329">
        <f>IF(G763&gt;=0,0,"C60&gt;=0")</f>
        <v>0</v>
      </c>
      <c r="K763" s="1329">
        <f>IF(H763&gt;=0,0,"C70&gt;=0")</f>
        <v>0</v>
      </c>
      <c r="L763" s="1329"/>
      <c r="M763" s="1335">
        <f>IF(G763&lt;=1,0,"c60&lt;=1")</f>
        <v>0</v>
      </c>
      <c r="N763" s="1335">
        <f>IF(($G763*100)&gt;100,"C60 Invalid value greater than 100",IF(($G763*100)&lt;&gt;ROUND(($G763*100),2),($G763*100)&amp;": C60 Invalid no. of decimals",0))</f>
        <v>0</v>
      </c>
      <c r="O763" s="1335"/>
      <c r="P763" s="1315"/>
      <c r="Q763" s="1315"/>
      <c r="R763" s="1315"/>
      <c r="S763" s="1315"/>
      <c r="T763" s="1315"/>
      <c r="U763" s="1315"/>
    </row>
    <row r="764" spans="2:21">
      <c r="B764" s="1946"/>
      <c r="C764" s="1946"/>
      <c r="D764" s="1946"/>
      <c r="E764" s="1946"/>
      <c r="F764" s="1946"/>
      <c r="G764" s="1947"/>
      <c r="H764" s="1948"/>
      <c r="I764" s="1949"/>
      <c r="J764" s="1329">
        <f t="shared" ref="J764:J767" si="291">IF(G764&gt;=0,0,"C60&gt;=0")</f>
        <v>0</v>
      </c>
      <c r="K764" s="1329">
        <f t="shared" ref="K764:K767" si="292">IF(H764&gt;=0,0,"C70&gt;=0")</f>
        <v>0</v>
      </c>
      <c r="L764" s="1329"/>
      <c r="M764" s="1335">
        <f t="shared" ref="M764:M767" si="293">IF(G764&lt;=1,0,"c60&lt;=1")</f>
        <v>0</v>
      </c>
      <c r="N764" s="1335">
        <f t="shared" si="290"/>
        <v>0</v>
      </c>
      <c r="O764" s="1335"/>
      <c r="P764" s="1315"/>
      <c r="Q764" s="1315"/>
      <c r="R764" s="1315"/>
      <c r="S764" s="1315"/>
      <c r="T764" s="1315"/>
      <c r="U764" s="1315"/>
    </row>
    <row r="765" spans="2:21">
      <c r="B765" s="1946"/>
      <c r="C765" s="1946"/>
      <c r="D765" s="1946"/>
      <c r="E765" s="1946"/>
      <c r="F765" s="1946"/>
      <c r="G765" s="1947"/>
      <c r="H765" s="1948"/>
      <c r="I765" s="1949"/>
      <c r="J765" s="1329">
        <f t="shared" si="291"/>
        <v>0</v>
      </c>
      <c r="K765" s="1329">
        <f t="shared" si="292"/>
        <v>0</v>
      </c>
      <c r="L765" s="1329"/>
      <c r="M765" s="1335">
        <f t="shared" si="293"/>
        <v>0</v>
      </c>
      <c r="N765" s="1335">
        <f t="shared" si="290"/>
        <v>0</v>
      </c>
      <c r="O765" s="1335"/>
      <c r="P765" s="1315"/>
      <c r="Q765" s="1315"/>
      <c r="R765" s="1315"/>
      <c r="S765" s="1315"/>
      <c r="T765" s="1315"/>
      <c r="U765" s="1315"/>
    </row>
    <row r="766" spans="2:21">
      <c r="B766" s="1946"/>
      <c r="C766" s="1946"/>
      <c r="D766" s="1946"/>
      <c r="E766" s="1946"/>
      <c r="F766" s="1946"/>
      <c r="G766" s="1947"/>
      <c r="H766" s="1948"/>
      <c r="I766" s="1949"/>
      <c r="J766" s="1329">
        <f t="shared" si="291"/>
        <v>0</v>
      </c>
      <c r="K766" s="1329">
        <f t="shared" si="292"/>
        <v>0</v>
      </c>
      <c r="L766" s="1329"/>
      <c r="M766" s="1335">
        <f t="shared" si="293"/>
        <v>0</v>
      </c>
      <c r="N766" s="1335">
        <f t="shared" si="290"/>
        <v>0</v>
      </c>
      <c r="O766" s="1335"/>
      <c r="P766" s="1315"/>
      <c r="Q766" s="1315"/>
      <c r="R766" s="1315"/>
      <c r="S766" s="1315"/>
      <c r="T766" s="1315"/>
      <c r="U766" s="1315"/>
    </row>
    <row r="767" spans="2:21">
      <c r="B767" s="1946"/>
      <c r="C767" s="1946"/>
      <c r="D767" s="1946"/>
      <c r="E767" s="1946"/>
      <c r="F767" s="1946"/>
      <c r="G767" s="1947"/>
      <c r="H767" s="1948"/>
      <c r="I767" s="1949"/>
      <c r="J767" s="1329">
        <f t="shared" si="291"/>
        <v>0</v>
      </c>
      <c r="K767" s="1329">
        <f t="shared" si="292"/>
        <v>0</v>
      </c>
      <c r="L767" s="1329"/>
      <c r="M767" s="1335">
        <f t="shared" si="293"/>
        <v>0</v>
      </c>
      <c r="N767" s="1335">
        <f t="shared" si="290"/>
        <v>0</v>
      </c>
      <c r="O767" s="1335"/>
      <c r="P767" s="1315"/>
      <c r="Q767" s="1315"/>
      <c r="R767" s="1315"/>
      <c r="S767" s="1315"/>
      <c r="T767" s="1315"/>
      <c r="U767" s="1315"/>
    </row>
    <row r="768" spans="2:21">
      <c r="B768" s="1946"/>
      <c r="C768" s="1946"/>
      <c r="D768" s="1946"/>
      <c r="E768" s="1946"/>
      <c r="F768" s="1946"/>
      <c r="G768" s="1947"/>
      <c r="H768" s="1948"/>
      <c r="I768" s="1949"/>
      <c r="J768" s="1329">
        <f>IF(G768&gt;=0,0,"C60&gt;=0")</f>
        <v>0</v>
      </c>
      <c r="K768" s="1329">
        <f>IF(H768&gt;=0,0,"C70&gt;=0")</f>
        <v>0</v>
      </c>
      <c r="L768" s="1329"/>
      <c r="M768" s="1335">
        <f>IF(G768&lt;=1,0,"c60&lt;=1")</f>
        <v>0</v>
      </c>
      <c r="N768" s="1335">
        <f>IF(($G768*100)&gt;100,"C60 Invalid value greater than 100",IF(($G768*100)&lt;&gt;ROUND(($G768*100),2),($G768*100)&amp;": C60 Invalid no. of decimals",0))</f>
        <v>0</v>
      </c>
      <c r="O768" s="1335"/>
      <c r="P768" s="1315"/>
      <c r="Q768" s="1315"/>
      <c r="R768" s="1315"/>
      <c r="S768" s="1315"/>
      <c r="T768" s="1315"/>
      <c r="U768" s="1315"/>
    </row>
    <row r="769" spans="2:21">
      <c r="B769" s="1946"/>
      <c r="C769" s="1946"/>
      <c r="D769" s="1946"/>
      <c r="E769" s="1946"/>
      <c r="F769" s="1946"/>
      <c r="G769" s="1947"/>
      <c r="H769" s="1948"/>
      <c r="I769" s="1949"/>
      <c r="J769" s="1329">
        <f t="shared" ref="J769:J772" si="294">IF(G769&gt;=0,0,"C60&gt;=0")</f>
        <v>0</v>
      </c>
      <c r="K769" s="1329">
        <f t="shared" ref="K769:K772" si="295">IF(H769&gt;=0,0,"C70&gt;=0")</f>
        <v>0</v>
      </c>
      <c r="L769" s="1329"/>
      <c r="M769" s="1335">
        <f t="shared" ref="M769:M772" si="296">IF(G769&lt;=1,0,"c60&lt;=1")</f>
        <v>0</v>
      </c>
      <c r="N769" s="1335">
        <f t="shared" si="290"/>
        <v>0</v>
      </c>
      <c r="O769" s="1335"/>
      <c r="P769" s="1315"/>
      <c r="Q769" s="1315"/>
      <c r="R769" s="1315"/>
      <c r="S769" s="1315"/>
      <c r="T769" s="1315"/>
      <c r="U769" s="1315"/>
    </row>
    <row r="770" spans="2:21">
      <c r="B770" s="1946"/>
      <c r="C770" s="1946"/>
      <c r="D770" s="1946"/>
      <c r="E770" s="1946"/>
      <c r="F770" s="1946"/>
      <c r="G770" s="1947"/>
      <c r="H770" s="1948"/>
      <c r="I770" s="1949"/>
      <c r="J770" s="1329">
        <f t="shared" si="294"/>
        <v>0</v>
      </c>
      <c r="K770" s="1329">
        <f t="shared" si="295"/>
        <v>0</v>
      </c>
      <c r="L770" s="1329"/>
      <c r="M770" s="1335">
        <f t="shared" si="296"/>
        <v>0</v>
      </c>
      <c r="N770" s="1335">
        <f t="shared" si="290"/>
        <v>0</v>
      </c>
      <c r="O770" s="1335"/>
      <c r="P770" s="1315"/>
      <c r="Q770" s="1315"/>
      <c r="R770" s="1315"/>
      <c r="S770" s="1315"/>
      <c r="T770" s="1315"/>
      <c r="U770" s="1315"/>
    </row>
    <row r="771" spans="2:21">
      <c r="B771" s="1946"/>
      <c r="C771" s="1946"/>
      <c r="D771" s="1946"/>
      <c r="E771" s="1946"/>
      <c r="F771" s="1946"/>
      <c r="G771" s="1947"/>
      <c r="H771" s="1948"/>
      <c r="I771" s="1949"/>
      <c r="J771" s="1329">
        <f t="shared" si="294"/>
        <v>0</v>
      </c>
      <c r="K771" s="1329">
        <f t="shared" si="295"/>
        <v>0</v>
      </c>
      <c r="L771" s="1329"/>
      <c r="M771" s="1335">
        <f t="shared" si="296"/>
        <v>0</v>
      </c>
      <c r="N771" s="1335">
        <f t="shared" si="290"/>
        <v>0</v>
      </c>
      <c r="O771" s="1335"/>
      <c r="P771" s="1315"/>
      <c r="Q771" s="1315"/>
      <c r="R771" s="1315"/>
      <c r="S771" s="1315"/>
      <c r="T771" s="1315"/>
      <c r="U771" s="1315"/>
    </row>
    <row r="772" spans="2:21">
      <c r="B772" s="1946"/>
      <c r="C772" s="1946"/>
      <c r="D772" s="1946"/>
      <c r="E772" s="1946"/>
      <c r="F772" s="1946"/>
      <c r="G772" s="1947"/>
      <c r="H772" s="1948"/>
      <c r="I772" s="1949"/>
      <c r="J772" s="1329">
        <f t="shared" si="294"/>
        <v>0</v>
      </c>
      <c r="K772" s="1329">
        <f t="shared" si="295"/>
        <v>0</v>
      </c>
      <c r="L772" s="1329"/>
      <c r="M772" s="1335">
        <f t="shared" si="296"/>
        <v>0</v>
      </c>
      <c r="N772" s="1335">
        <f t="shared" si="290"/>
        <v>0</v>
      </c>
      <c r="O772" s="1335"/>
      <c r="P772" s="1315"/>
      <c r="Q772" s="1315"/>
      <c r="R772" s="1315"/>
      <c r="S772" s="1315"/>
      <c r="T772" s="1315"/>
      <c r="U772" s="1315"/>
    </row>
    <row r="773" spans="2:21">
      <c r="B773" s="1946"/>
      <c r="C773" s="1946"/>
      <c r="D773" s="1946"/>
      <c r="E773" s="1946"/>
      <c r="F773" s="1946"/>
      <c r="G773" s="1947"/>
      <c r="H773" s="1948"/>
      <c r="I773" s="1949"/>
      <c r="J773" s="1329">
        <f>IF(G773&gt;=0,0,"C60&gt;=0")</f>
        <v>0</v>
      </c>
      <c r="K773" s="1329">
        <f>IF(H773&gt;=0,0,"C70&gt;=0")</f>
        <v>0</v>
      </c>
      <c r="L773" s="1329"/>
      <c r="M773" s="1335">
        <f>IF(G773&lt;=1,0,"c60&lt;=1")</f>
        <v>0</v>
      </c>
      <c r="N773" s="1335">
        <f>IF(($G773*100)&gt;100,"C60 Invalid value greater than 100",IF(($G773*100)&lt;&gt;ROUND(($G773*100),2),($G773*100)&amp;": C60 Invalid no. of decimals",0))</f>
        <v>0</v>
      </c>
      <c r="O773" s="1335"/>
      <c r="P773" s="1315"/>
      <c r="Q773" s="1315"/>
      <c r="R773" s="1315"/>
      <c r="S773" s="1315"/>
      <c r="T773" s="1315"/>
      <c r="U773" s="1315"/>
    </row>
    <row r="774" spans="2:21">
      <c r="B774" s="1946"/>
      <c r="C774" s="1946"/>
      <c r="D774" s="1946"/>
      <c r="E774" s="1946"/>
      <c r="F774" s="1946"/>
      <c r="G774" s="1947"/>
      <c r="H774" s="1948"/>
      <c r="I774" s="1949"/>
      <c r="J774" s="1329">
        <f t="shared" ref="J774:J777" si="297">IF(G774&gt;=0,0,"C60&gt;=0")</f>
        <v>0</v>
      </c>
      <c r="K774" s="1329">
        <f t="shared" ref="K774:K777" si="298">IF(H774&gt;=0,0,"C70&gt;=0")</f>
        <v>0</v>
      </c>
      <c r="L774" s="1329"/>
      <c r="M774" s="1335">
        <f t="shared" ref="M774:M777" si="299">IF(G774&lt;=1,0,"c60&lt;=1")</f>
        <v>0</v>
      </c>
      <c r="N774" s="1335">
        <f t="shared" ref="N774:N837" si="300">IF(($G774*100)&gt;100,"C60 Invalid value greater than 100",IF(($G774*100)&lt;&gt;ROUND(($G774*100),2),($G774*100)&amp;": C60 Invalid no. of decimals",0))</f>
        <v>0</v>
      </c>
      <c r="O774" s="1335"/>
      <c r="P774" s="1315"/>
      <c r="Q774" s="1315"/>
      <c r="R774" s="1315"/>
      <c r="S774" s="1315"/>
      <c r="T774" s="1315"/>
      <c r="U774" s="1315"/>
    </row>
    <row r="775" spans="2:21">
      <c r="B775" s="1946"/>
      <c r="C775" s="1946"/>
      <c r="D775" s="1946"/>
      <c r="E775" s="1946"/>
      <c r="F775" s="1946"/>
      <c r="G775" s="1947"/>
      <c r="H775" s="1948"/>
      <c r="I775" s="1949"/>
      <c r="J775" s="1329">
        <f t="shared" si="297"/>
        <v>0</v>
      </c>
      <c r="K775" s="1329">
        <f t="shared" si="298"/>
        <v>0</v>
      </c>
      <c r="L775" s="1329"/>
      <c r="M775" s="1335">
        <f t="shared" si="299"/>
        <v>0</v>
      </c>
      <c r="N775" s="1335">
        <f t="shared" si="300"/>
        <v>0</v>
      </c>
      <c r="O775" s="1335"/>
      <c r="P775" s="1315"/>
      <c r="Q775" s="1315"/>
      <c r="R775" s="1315"/>
      <c r="S775" s="1315"/>
      <c r="T775" s="1315"/>
      <c r="U775" s="1315"/>
    </row>
    <row r="776" spans="2:21">
      <c r="B776" s="1946"/>
      <c r="C776" s="1946"/>
      <c r="D776" s="1946"/>
      <c r="E776" s="1946"/>
      <c r="F776" s="1946"/>
      <c r="G776" s="1947"/>
      <c r="H776" s="1948"/>
      <c r="I776" s="1949"/>
      <c r="J776" s="1329">
        <f t="shared" si="297"/>
        <v>0</v>
      </c>
      <c r="K776" s="1329">
        <f t="shared" si="298"/>
        <v>0</v>
      </c>
      <c r="L776" s="1329"/>
      <c r="M776" s="1335">
        <f t="shared" si="299"/>
        <v>0</v>
      </c>
      <c r="N776" s="1335">
        <f t="shared" si="300"/>
        <v>0</v>
      </c>
      <c r="O776" s="1335"/>
      <c r="P776" s="1315"/>
      <c r="Q776" s="1315"/>
      <c r="R776" s="1315"/>
      <c r="S776" s="1315"/>
      <c r="T776" s="1315"/>
      <c r="U776" s="1315"/>
    </row>
    <row r="777" spans="2:21">
      <c r="B777" s="1946"/>
      <c r="C777" s="1946"/>
      <c r="D777" s="1946"/>
      <c r="E777" s="1946"/>
      <c r="F777" s="1946"/>
      <c r="G777" s="1947"/>
      <c r="H777" s="1948"/>
      <c r="I777" s="1949"/>
      <c r="J777" s="1329">
        <f t="shared" si="297"/>
        <v>0</v>
      </c>
      <c r="K777" s="1329">
        <f t="shared" si="298"/>
        <v>0</v>
      </c>
      <c r="L777" s="1329"/>
      <c r="M777" s="1335">
        <f t="shared" si="299"/>
        <v>0</v>
      </c>
      <c r="N777" s="1335">
        <f t="shared" si="300"/>
        <v>0</v>
      </c>
      <c r="O777" s="1335"/>
      <c r="P777" s="1315"/>
      <c r="Q777" s="1315"/>
      <c r="R777" s="1315"/>
      <c r="S777" s="1315"/>
      <c r="T777" s="1315"/>
      <c r="U777" s="1315"/>
    </row>
    <row r="778" spans="2:21">
      <c r="B778" s="1946"/>
      <c r="C778" s="1946"/>
      <c r="D778" s="1946"/>
      <c r="E778" s="1946"/>
      <c r="F778" s="1946"/>
      <c r="G778" s="1947"/>
      <c r="H778" s="1948"/>
      <c r="I778" s="1949"/>
      <c r="J778" s="1329">
        <f>IF(G778&gt;=0,0,"C60&gt;=0")</f>
        <v>0</v>
      </c>
      <c r="K778" s="1329">
        <f>IF(H778&gt;=0,0,"C70&gt;=0")</f>
        <v>0</v>
      </c>
      <c r="L778" s="1329"/>
      <c r="M778" s="1335">
        <f>IF(G778&lt;=1,0,"c60&lt;=1")</f>
        <v>0</v>
      </c>
      <c r="N778" s="1335">
        <f>IF(($G778*100)&gt;100,"C60 Invalid value greater than 100",IF(($G778*100)&lt;&gt;ROUND(($G778*100),2),($G778*100)&amp;": C60 Invalid no. of decimals",0))</f>
        <v>0</v>
      </c>
      <c r="O778" s="1335"/>
      <c r="P778" s="1315"/>
      <c r="Q778" s="1315"/>
      <c r="R778" s="1315"/>
      <c r="S778" s="1315"/>
      <c r="T778" s="1315"/>
      <c r="U778" s="1315"/>
    </row>
    <row r="779" spans="2:21">
      <c r="B779" s="1946"/>
      <c r="C779" s="1946"/>
      <c r="D779" s="1946"/>
      <c r="E779" s="1946"/>
      <c r="F779" s="1946"/>
      <c r="G779" s="1947"/>
      <c r="H779" s="1948"/>
      <c r="I779" s="1949"/>
      <c r="J779" s="1329">
        <f t="shared" ref="J779:J782" si="301">IF(G779&gt;=0,0,"C60&gt;=0")</f>
        <v>0</v>
      </c>
      <c r="K779" s="1329">
        <f t="shared" ref="K779:K782" si="302">IF(H779&gt;=0,0,"C70&gt;=0")</f>
        <v>0</v>
      </c>
      <c r="L779" s="1329"/>
      <c r="M779" s="1335">
        <f t="shared" ref="M779:M782" si="303">IF(G779&lt;=1,0,"c60&lt;=1")</f>
        <v>0</v>
      </c>
      <c r="N779" s="1335">
        <f t="shared" si="300"/>
        <v>0</v>
      </c>
      <c r="O779" s="1335"/>
      <c r="P779" s="1315"/>
      <c r="Q779" s="1315"/>
      <c r="R779" s="1315"/>
      <c r="S779" s="1315"/>
      <c r="T779" s="1315"/>
      <c r="U779" s="1315"/>
    </row>
    <row r="780" spans="2:21">
      <c r="B780" s="1946"/>
      <c r="C780" s="1946"/>
      <c r="D780" s="1946"/>
      <c r="E780" s="1946"/>
      <c r="F780" s="1946"/>
      <c r="G780" s="1947"/>
      <c r="H780" s="1948"/>
      <c r="I780" s="1949"/>
      <c r="J780" s="1329">
        <f t="shared" si="301"/>
        <v>0</v>
      </c>
      <c r="K780" s="1329">
        <f t="shared" si="302"/>
        <v>0</v>
      </c>
      <c r="L780" s="1329"/>
      <c r="M780" s="1335">
        <f t="shared" si="303"/>
        <v>0</v>
      </c>
      <c r="N780" s="1335">
        <f t="shared" si="300"/>
        <v>0</v>
      </c>
      <c r="O780" s="1335"/>
      <c r="P780" s="1315"/>
      <c r="Q780" s="1315"/>
      <c r="R780" s="1315"/>
      <c r="S780" s="1315"/>
      <c r="T780" s="1315"/>
      <c r="U780" s="1315"/>
    </row>
    <row r="781" spans="2:21">
      <c r="B781" s="1946"/>
      <c r="C781" s="1946"/>
      <c r="D781" s="1946"/>
      <c r="E781" s="1946"/>
      <c r="F781" s="1946"/>
      <c r="G781" s="1947"/>
      <c r="H781" s="1948"/>
      <c r="I781" s="1949"/>
      <c r="J781" s="1329">
        <f t="shared" si="301"/>
        <v>0</v>
      </c>
      <c r="K781" s="1329">
        <f t="shared" si="302"/>
        <v>0</v>
      </c>
      <c r="L781" s="1329"/>
      <c r="M781" s="1335">
        <f t="shared" si="303"/>
        <v>0</v>
      </c>
      <c r="N781" s="1335">
        <f t="shared" si="300"/>
        <v>0</v>
      </c>
      <c r="O781" s="1335"/>
      <c r="P781" s="1315"/>
      <c r="Q781" s="1315"/>
      <c r="R781" s="1315"/>
      <c r="S781" s="1315"/>
      <c r="T781" s="1315"/>
      <c r="U781" s="1315"/>
    </row>
    <row r="782" spans="2:21">
      <c r="B782" s="1946"/>
      <c r="C782" s="1946"/>
      <c r="D782" s="1946"/>
      <c r="E782" s="1946"/>
      <c r="F782" s="1946"/>
      <c r="G782" s="1947"/>
      <c r="H782" s="1948"/>
      <c r="I782" s="1949"/>
      <c r="J782" s="1329">
        <f t="shared" si="301"/>
        <v>0</v>
      </c>
      <c r="K782" s="1329">
        <f t="shared" si="302"/>
        <v>0</v>
      </c>
      <c r="L782" s="1329"/>
      <c r="M782" s="1335">
        <f t="shared" si="303"/>
        <v>0</v>
      </c>
      <c r="N782" s="1335">
        <f t="shared" si="300"/>
        <v>0</v>
      </c>
      <c r="O782" s="1335"/>
      <c r="P782" s="1315"/>
      <c r="Q782" s="1315"/>
      <c r="R782" s="1315"/>
      <c r="S782" s="1315"/>
      <c r="T782" s="1315"/>
      <c r="U782" s="1315"/>
    </row>
    <row r="783" spans="2:21">
      <c r="B783" s="1946"/>
      <c r="C783" s="1946"/>
      <c r="D783" s="1946"/>
      <c r="E783" s="1946"/>
      <c r="F783" s="1946"/>
      <c r="G783" s="1947"/>
      <c r="H783" s="1948"/>
      <c r="I783" s="1949"/>
      <c r="J783" s="1329">
        <f>IF(G783&gt;=0,0,"C60&gt;=0")</f>
        <v>0</v>
      </c>
      <c r="K783" s="1329">
        <f>IF(H783&gt;=0,0,"C70&gt;=0")</f>
        <v>0</v>
      </c>
      <c r="L783" s="1329"/>
      <c r="M783" s="1335">
        <f>IF(G783&lt;=1,0,"c60&lt;=1")</f>
        <v>0</v>
      </c>
      <c r="N783" s="1335">
        <f>IF(($G783*100)&gt;100,"C60 Invalid value greater than 100",IF(($G783*100)&lt;&gt;ROUND(($G783*100),2),($G783*100)&amp;": C60 Invalid no. of decimals",0))</f>
        <v>0</v>
      </c>
      <c r="O783" s="1335"/>
      <c r="P783" s="1315"/>
      <c r="Q783" s="1315"/>
      <c r="R783" s="1315"/>
      <c r="S783" s="1315"/>
      <c r="T783" s="1315"/>
      <c r="U783" s="1315"/>
    </row>
    <row r="784" spans="2:21">
      <c r="B784" s="1946"/>
      <c r="C784" s="1946"/>
      <c r="D784" s="1946"/>
      <c r="E784" s="1946"/>
      <c r="F784" s="1946"/>
      <c r="G784" s="1947"/>
      <c r="H784" s="1948"/>
      <c r="I784" s="1949"/>
      <c r="J784" s="1329">
        <f t="shared" ref="J784:J787" si="304">IF(G784&gt;=0,0,"C60&gt;=0")</f>
        <v>0</v>
      </c>
      <c r="K784" s="1329">
        <f t="shared" ref="K784:K787" si="305">IF(H784&gt;=0,0,"C70&gt;=0")</f>
        <v>0</v>
      </c>
      <c r="L784" s="1329"/>
      <c r="M784" s="1335">
        <f t="shared" ref="M784:M787" si="306">IF(G784&lt;=1,0,"c60&lt;=1")</f>
        <v>0</v>
      </c>
      <c r="N784" s="1335">
        <f t="shared" si="300"/>
        <v>0</v>
      </c>
      <c r="O784" s="1335"/>
      <c r="P784" s="1315"/>
      <c r="Q784" s="1315"/>
      <c r="R784" s="1315"/>
      <c r="S784" s="1315"/>
      <c r="T784" s="1315"/>
      <c r="U784" s="1315"/>
    </row>
    <row r="785" spans="2:21">
      <c r="B785" s="1946"/>
      <c r="C785" s="1946"/>
      <c r="D785" s="1946"/>
      <c r="E785" s="1946"/>
      <c r="F785" s="1946"/>
      <c r="G785" s="1947"/>
      <c r="H785" s="1948"/>
      <c r="I785" s="1949"/>
      <c r="J785" s="1329">
        <f t="shared" si="304"/>
        <v>0</v>
      </c>
      <c r="K785" s="1329">
        <f t="shared" si="305"/>
        <v>0</v>
      </c>
      <c r="L785" s="1329"/>
      <c r="M785" s="1335">
        <f t="shared" si="306"/>
        <v>0</v>
      </c>
      <c r="N785" s="1335">
        <f t="shared" si="300"/>
        <v>0</v>
      </c>
      <c r="O785" s="1335"/>
      <c r="P785" s="1315"/>
      <c r="Q785" s="1315"/>
      <c r="R785" s="1315"/>
      <c r="S785" s="1315"/>
      <c r="T785" s="1315"/>
      <c r="U785" s="1315"/>
    </row>
    <row r="786" spans="2:21">
      <c r="B786" s="1946"/>
      <c r="C786" s="1946"/>
      <c r="D786" s="1946"/>
      <c r="E786" s="1946"/>
      <c r="F786" s="1946"/>
      <c r="G786" s="1947"/>
      <c r="H786" s="1948"/>
      <c r="I786" s="1949"/>
      <c r="J786" s="1329">
        <f t="shared" si="304"/>
        <v>0</v>
      </c>
      <c r="K786" s="1329">
        <f t="shared" si="305"/>
        <v>0</v>
      </c>
      <c r="L786" s="1329"/>
      <c r="M786" s="1335">
        <f t="shared" si="306"/>
        <v>0</v>
      </c>
      <c r="N786" s="1335">
        <f t="shared" si="300"/>
        <v>0</v>
      </c>
      <c r="O786" s="1335"/>
      <c r="P786" s="1315"/>
      <c r="Q786" s="1315"/>
      <c r="R786" s="1315"/>
      <c r="S786" s="1315"/>
      <c r="T786" s="1315"/>
      <c r="U786" s="1315"/>
    </row>
    <row r="787" spans="2:21">
      <c r="B787" s="1946"/>
      <c r="C787" s="1946"/>
      <c r="D787" s="1946"/>
      <c r="E787" s="1946"/>
      <c r="F787" s="1946"/>
      <c r="G787" s="1947"/>
      <c r="H787" s="1948"/>
      <c r="I787" s="1949"/>
      <c r="J787" s="1329">
        <f t="shared" si="304"/>
        <v>0</v>
      </c>
      <c r="K787" s="1329">
        <f t="shared" si="305"/>
        <v>0</v>
      </c>
      <c r="L787" s="1329"/>
      <c r="M787" s="1335">
        <f t="shared" si="306"/>
        <v>0</v>
      </c>
      <c r="N787" s="1335">
        <f t="shared" si="300"/>
        <v>0</v>
      </c>
      <c r="O787" s="1335"/>
      <c r="P787" s="1315"/>
      <c r="Q787" s="1315"/>
      <c r="R787" s="1315"/>
      <c r="S787" s="1315"/>
      <c r="T787" s="1315"/>
      <c r="U787" s="1315"/>
    </row>
    <row r="788" spans="2:21">
      <c r="B788" s="1946"/>
      <c r="C788" s="1946"/>
      <c r="D788" s="1946"/>
      <c r="E788" s="1946"/>
      <c r="F788" s="1946"/>
      <c r="G788" s="1947"/>
      <c r="H788" s="1948"/>
      <c r="I788" s="1949"/>
      <c r="J788" s="1329">
        <f>IF(G788&gt;=0,0,"C60&gt;=0")</f>
        <v>0</v>
      </c>
      <c r="K788" s="1329">
        <f>IF(H788&gt;=0,0,"C70&gt;=0")</f>
        <v>0</v>
      </c>
      <c r="L788" s="1329"/>
      <c r="M788" s="1335">
        <f>IF(G788&lt;=1,0,"c60&lt;=1")</f>
        <v>0</v>
      </c>
      <c r="N788" s="1335">
        <f>IF(($G788*100)&gt;100,"C60 Invalid value greater than 100",IF(($G788*100)&lt;&gt;ROUND(($G788*100),2),($G788*100)&amp;": C60 Invalid no. of decimals",0))</f>
        <v>0</v>
      </c>
      <c r="O788" s="1335"/>
      <c r="P788" s="1315"/>
      <c r="Q788" s="1315"/>
      <c r="R788" s="1315"/>
      <c r="S788" s="1315"/>
      <c r="T788" s="1315"/>
      <c r="U788" s="1315"/>
    </row>
    <row r="789" spans="2:21">
      <c r="B789" s="1946"/>
      <c r="C789" s="1946"/>
      <c r="D789" s="1946"/>
      <c r="E789" s="1946"/>
      <c r="F789" s="1946"/>
      <c r="G789" s="1947"/>
      <c r="H789" s="1948"/>
      <c r="I789" s="1949"/>
      <c r="J789" s="1329">
        <f t="shared" ref="J789:J792" si="307">IF(G789&gt;=0,0,"C60&gt;=0")</f>
        <v>0</v>
      </c>
      <c r="K789" s="1329">
        <f t="shared" ref="K789:K792" si="308">IF(H789&gt;=0,0,"C70&gt;=0")</f>
        <v>0</v>
      </c>
      <c r="L789" s="1329"/>
      <c r="M789" s="1335">
        <f t="shared" ref="M789:M792" si="309">IF(G789&lt;=1,0,"c60&lt;=1")</f>
        <v>0</v>
      </c>
      <c r="N789" s="1335">
        <f t="shared" si="300"/>
        <v>0</v>
      </c>
      <c r="O789" s="1335"/>
      <c r="P789" s="1315"/>
      <c r="Q789" s="1315"/>
      <c r="R789" s="1315"/>
      <c r="S789" s="1315"/>
      <c r="T789" s="1315"/>
      <c r="U789" s="1315"/>
    </row>
    <row r="790" spans="2:21">
      <c r="B790" s="1946"/>
      <c r="C790" s="1946"/>
      <c r="D790" s="1946"/>
      <c r="E790" s="1946"/>
      <c r="F790" s="1946"/>
      <c r="G790" s="1947"/>
      <c r="H790" s="1948"/>
      <c r="I790" s="1949"/>
      <c r="J790" s="1329">
        <f t="shared" si="307"/>
        <v>0</v>
      </c>
      <c r="K790" s="1329">
        <f t="shared" si="308"/>
        <v>0</v>
      </c>
      <c r="L790" s="1329"/>
      <c r="M790" s="1335">
        <f t="shared" si="309"/>
        <v>0</v>
      </c>
      <c r="N790" s="1335">
        <f t="shared" si="300"/>
        <v>0</v>
      </c>
      <c r="O790" s="1335"/>
      <c r="P790" s="1315"/>
      <c r="Q790" s="1315"/>
      <c r="R790" s="1315"/>
      <c r="S790" s="1315"/>
      <c r="T790" s="1315"/>
      <c r="U790" s="1315"/>
    </row>
    <row r="791" spans="2:21">
      <c r="B791" s="1946"/>
      <c r="C791" s="1946"/>
      <c r="D791" s="1946"/>
      <c r="E791" s="1946"/>
      <c r="F791" s="1946"/>
      <c r="G791" s="1947"/>
      <c r="H791" s="1948"/>
      <c r="I791" s="1949"/>
      <c r="J791" s="1329">
        <f t="shared" si="307"/>
        <v>0</v>
      </c>
      <c r="K791" s="1329">
        <f t="shared" si="308"/>
        <v>0</v>
      </c>
      <c r="L791" s="1329"/>
      <c r="M791" s="1335">
        <f t="shared" si="309"/>
        <v>0</v>
      </c>
      <c r="N791" s="1335">
        <f t="shared" si="300"/>
        <v>0</v>
      </c>
      <c r="O791" s="1335"/>
      <c r="P791" s="1315"/>
      <c r="Q791" s="1315"/>
      <c r="R791" s="1315"/>
      <c r="S791" s="1315"/>
      <c r="T791" s="1315"/>
      <c r="U791" s="1315"/>
    </row>
    <row r="792" spans="2:21">
      <c r="B792" s="1946"/>
      <c r="C792" s="1946"/>
      <c r="D792" s="1946"/>
      <c r="E792" s="1946"/>
      <c r="F792" s="1946"/>
      <c r="G792" s="1947"/>
      <c r="H792" s="1948"/>
      <c r="I792" s="1949"/>
      <c r="J792" s="1329">
        <f t="shared" si="307"/>
        <v>0</v>
      </c>
      <c r="K792" s="1329">
        <f t="shared" si="308"/>
        <v>0</v>
      </c>
      <c r="L792" s="1329"/>
      <c r="M792" s="1335">
        <f t="shared" si="309"/>
        <v>0</v>
      </c>
      <c r="N792" s="1335">
        <f t="shared" si="300"/>
        <v>0</v>
      </c>
      <c r="O792" s="1335"/>
      <c r="P792" s="1315"/>
      <c r="Q792" s="1315"/>
      <c r="R792" s="1315"/>
      <c r="S792" s="1315"/>
      <c r="T792" s="1315"/>
      <c r="U792" s="1315"/>
    </row>
    <row r="793" spans="2:21">
      <c r="B793" s="1946"/>
      <c r="C793" s="1946"/>
      <c r="D793" s="1946"/>
      <c r="E793" s="1946"/>
      <c r="F793" s="1946"/>
      <c r="G793" s="1947"/>
      <c r="H793" s="1948"/>
      <c r="I793" s="1949"/>
      <c r="J793" s="1329">
        <f>IF(G793&gt;=0,0,"C60&gt;=0")</f>
        <v>0</v>
      </c>
      <c r="K793" s="1329">
        <f>IF(H793&gt;=0,0,"C70&gt;=0")</f>
        <v>0</v>
      </c>
      <c r="L793" s="1329"/>
      <c r="M793" s="1335">
        <f>IF(G793&lt;=1,0,"c60&lt;=1")</f>
        <v>0</v>
      </c>
      <c r="N793" s="1335">
        <f>IF(($G793*100)&gt;100,"C60 Invalid value greater than 100",IF(($G793*100)&lt;&gt;ROUND(($G793*100),2),($G793*100)&amp;": C60 Invalid no. of decimals",0))</f>
        <v>0</v>
      </c>
      <c r="O793" s="1335"/>
      <c r="P793" s="1315"/>
      <c r="Q793" s="1315"/>
      <c r="R793" s="1315"/>
      <c r="S793" s="1315"/>
      <c r="T793" s="1315"/>
      <c r="U793" s="1315"/>
    </row>
    <row r="794" spans="2:21">
      <c r="B794" s="1946"/>
      <c r="C794" s="1946"/>
      <c r="D794" s="1946"/>
      <c r="E794" s="1946"/>
      <c r="F794" s="1946"/>
      <c r="G794" s="1947"/>
      <c r="H794" s="1948"/>
      <c r="I794" s="1949"/>
      <c r="J794" s="1329">
        <f t="shared" ref="J794:J797" si="310">IF(G794&gt;=0,0,"C60&gt;=0")</f>
        <v>0</v>
      </c>
      <c r="K794" s="1329">
        <f t="shared" ref="K794:K797" si="311">IF(H794&gt;=0,0,"C70&gt;=0")</f>
        <v>0</v>
      </c>
      <c r="L794" s="1329"/>
      <c r="M794" s="1335">
        <f t="shared" ref="M794:M797" si="312">IF(G794&lt;=1,0,"c60&lt;=1")</f>
        <v>0</v>
      </c>
      <c r="N794" s="1335">
        <f t="shared" si="300"/>
        <v>0</v>
      </c>
      <c r="O794" s="1335"/>
      <c r="P794" s="1315"/>
      <c r="Q794" s="1315"/>
      <c r="R794" s="1315"/>
      <c r="S794" s="1315"/>
      <c r="T794" s="1315"/>
      <c r="U794" s="1315"/>
    </row>
    <row r="795" spans="2:21">
      <c r="B795" s="1946"/>
      <c r="C795" s="1946"/>
      <c r="D795" s="1946"/>
      <c r="E795" s="1946"/>
      <c r="F795" s="1946"/>
      <c r="G795" s="1947"/>
      <c r="H795" s="1948"/>
      <c r="I795" s="1949"/>
      <c r="J795" s="1329">
        <f t="shared" si="310"/>
        <v>0</v>
      </c>
      <c r="K795" s="1329">
        <f t="shared" si="311"/>
        <v>0</v>
      </c>
      <c r="L795" s="1329"/>
      <c r="M795" s="1335">
        <f t="shared" si="312"/>
        <v>0</v>
      </c>
      <c r="N795" s="1335">
        <f t="shared" si="300"/>
        <v>0</v>
      </c>
      <c r="O795" s="1335"/>
      <c r="P795" s="1315"/>
      <c r="Q795" s="1315"/>
      <c r="R795" s="1315"/>
      <c r="S795" s="1315"/>
      <c r="T795" s="1315"/>
      <c r="U795" s="1315"/>
    </row>
    <row r="796" spans="2:21">
      <c r="B796" s="1946"/>
      <c r="C796" s="1946"/>
      <c r="D796" s="1946"/>
      <c r="E796" s="1946"/>
      <c r="F796" s="1946"/>
      <c r="G796" s="1947"/>
      <c r="H796" s="1948"/>
      <c r="I796" s="1949"/>
      <c r="J796" s="1329">
        <f t="shared" si="310"/>
        <v>0</v>
      </c>
      <c r="K796" s="1329">
        <f t="shared" si="311"/>
        <v>0</v>
      </c>
      <c r="L796" s="1329"/>
      <c r="M796" s="1335">
        <f t="shared" si="312"/>
        <v>0</v>
      </c>
      <c r="N796" s="1335">
        <f t="shared" si="300"/>
        <v>0</v>
      </c>
      <c r="O796" s="1335"/>
      <c r="P796" s="1315"/>
      <c r="Q796" s="1315"/>
      <c r="R796" s="1315"/>
      <c r="S796" s="1315"/>
      <c r="T796" s="1315"/>
      <c r="U796" s="1315"/>
    </row>
    <row r="797" spans="2:21">
      <c r="B797" s="1946"/>
      <c r="C797" s="1946"/>
      <c r="D797" s="1946"/>
      <c r="E797" s="1946"/>
      <c r="F797" s="1946"/>
      <c r="G797" s="1947"/>
      <c r="H797" s="1948"/>
      <c r="I797" s="1949"/>
      <c r="J797" s="1329">
        <f t="shared" si="310"/>
        <v>0</v>
      </c>
      <c r="K797" s="1329">
        <f t="shared" si="311"/>
        <v>0</v>
      </c>
      <c r="L797" s="1329"/>
      <c r="M797" s="1335">
        <f t="shared" si="312"/>
        <v>0</v>
      </c>
      <c r="N797" s="1335">
        <f t="shared" si="300"/>
        <v>0</v>
      </c>
      <c r="O797" s="1335"/>
      <c r="P797" s="1315"/>
      <c r="Q797" s="1315"/>
      <c r="R797" s="1315"/>
      <c r="S797" s="1315"/>
      <c r="T797" s="1315"/>
      <c r="U797" s="1315"/>
    </row>
    <row r="798" spans="2:21">
      <c r="B798" s="1946"/>
      <c r="C798" s="1946"/>
      <c r="D798" s="1946"/>
      <c r="E798" s="1946"/>
      <c r="F798" s="1946"/>
      <c r="G798" s="1947"/>
      <c r="H798" s="1948"/>
      <c r="I798" s="1949"/>
      <c r="J798" s="1329">
        <f>IF(G798&gt;=0,0,"C60&gt;=0")</f>
        <v>0</v>
      </c>
      <c r="K798" s="1329">
        <f>IF(H798&gt;=0,0,"C70&gt;=0")</f>
        <v>0</v>
      </c>
      <c r="L798" s="1329"/>
      <c r="M798" s="1335">
        <f>IF(G798&lt;=1,0,"c60&lt;=1")</f>
        <v>0</v>
      </c>
      <c r="N798" s="1335">
        <f>IF(($G798*100)&gt;100,"C60 Invalid value greater than 100",IF(($G798*100)&lt;&gt;ROUND(($G798*100),2),($G798*100)&amp;": C60 Invalid no. of decimals",0))</f>
        <v>0</v>
      </c>
      <c r="O798" s="1335"/>
      <c r="P798" s="1315"/>
      <c r="Q798" s="1315"/>
      <c r="R798" s="1315"/>
      <c r="S798" s="1315"/>
      <c r="T798" s="1315"/>
      <c r="U798" s="1315"/>
    </row>
    <row r="799" spans="2:21">
      <c r="B799" s="1946"/>
      <c r="C799" s="1946"/>
      <c r="D799" s="1946"/>
      <c r="E799" s="1946"/>
      <c r="F799" s="1946"/>
      <c r="G799" s="1947"/>
      <c r="H799" s="1948"/>
      <c r="I799" s="1949"/>
      <c r="J799" s="1329">
        <f t="shared" ref="J799:J802" si="313">IF(G799&gt;=0,0,"C60&gt;=0")</f>
        <v>0</v>
      </c>
      <c r="K799" s="1329">
        <f t="shared" ref="K799:K802" si="314">IF(H799&gt;=0,0,"C70&gt;=0")</f>
        <v>0</v>
      </c>
      <c r="L799" s="1329"/>
      <c r="M799" s="1335">
        <f t="shared" ref="M799:M802" si="315">IF(G799&lt;=1,0,"c60&lt;=1")</f>
        <v>0</v>
      </c>
      <c r="N799" s="1335">
        <f t="shared" si="300"/>
        <v>0</v>
      </c>
      <c r="O799" s="1335"/>
      <c r="P799" s="1315"/>
      <c r="Q799" s="1315"/>
      <c r="R799" s="1315"/>
      <c r="S799" s="1315"/>
      <c r="T799" s="1315"/>
      <c r="U799" s="1315"/>
    </row>
    <row r="800" spans="2:21">
      <c r="B800" s="1946"/>
      <c r="C800" s="1946"/>
      <c r="D800" s="1946"/>
      <c r="E800" s="1946"/>
      <c r="F800" s="1946"/>
      <c r="G800" s="1947"/>
      <c r="H800" s="1948"/>
      <c r="I800" s="1949"/>
      <c r="J800" s="1329">
        <f t="shared" si="313"/>
        <v>0</v>
      </c>
      <c r="K800" s="1329">
        <f t="shared" si="314"/>
        <v>0</v>
      </c>
      <c r="L800" s="1329"/>
      <c r="M800" s="1335">
        <f t="shared" si="315"/>
        <v>0</v>
      </c>
      <c r="N800" s="1335">
        <f t="shared" si="300"/>
        <v>0</v>
      </c>
      <c r="O800" s="1335"/>
      <c r="P800" s="1315"/>
      <c r="Q800" s="1315"/>
      <c r="R800" s="1315"/>
      <c r="S800" s="1315"/>
      <c r="T800" s="1315"/>
      <c r="U800" s="1315"/>
    </row>
    <row r="801" spans="2:21">
      <c r="B801" s="1946"/>
      <c r="C801" s="1946"/>
      <c r="D801" s="1946"/>
      <c r="E801" s="1946"/>
      <c r="F801" s="1946"/>
      <c r="G801" s="1947"/>
      <c r="H801" s="1948"/>
      <c r="I801" s="1949"/>
      <c r="J801" s="1329">
        <f t="shared" si="313"/>
        <v>0</v>
      </c>
      <c r="K801" s="1329">
        <f t="shared" si="314"/>
        <v>0</v>
      </c>
      <c r="L801" s="1329"/>
      <c r="M801" s="1335">
        <f t="shared" si="315"/>
        <v>0</v>
      </c>
      <c r="N801" s="1335">
        <f t="shared" si="300"/>
        <v>0</v>
      </c>
      <c r="O801" s="1335"/>
      <c r="P801" s="1315"/>
      <c r="Q801" s="1315"/>
      <c r="R801" s="1315"/>
      <c r="S801" s="1315"/>
      <c r="T801" s="1315"/>
      <c r="U801" s="1315"/>
    </row>
    <row r="802" spans="2:21">
      <c r="B802" s="1946"/>
      <c r="C802" s="1946"/>
      <c r="D802" s="1946"/>
      <c r="E802" s="1946"/>
      <c r="F802" s="1946"/>
      <c r="G802" s="1947"/>
      <c r="H802" s="1948"/>
      <c r="I802" s="1949"/>
      <c r="J802" s="1329">
        <f t="shared" si="313"/>
        <v>0</v>
      </c>
      <c r="K802" s="1329">
        <f t="shared" si="314"/>
        <v>0</v>
      </c>
      <c r="L802" s="1329"/>
      <c r="M802" s="1335">
        <f t="shared" si="315"/>
        <v>0</v>
      </c>
      <c r="N802" s="1335">
        <f t="shared" si="300"/>
        <v>0</v>
      </c>
      <c r="O802" s="1335"/>
      <c r="P802" s="1315"/>
      <c r="Q802" s="1315"/>
      <c r="R802" s="1315"/>
      <c r="S802" s="1315"/>
      <c r="T802" s="1315"/>
      <c r="U802" s="1315"/>
    </row>
    <row r="803" spans="2:21">
      <c r="B803" s="1946"/>
      <c r="C803" s="1946"/>
      <c r="D803" s="1946"/>
      <c r="E803" s="1946"/>
      <c r="F803" s="1946"/>
      <c r="G803" s="1947"/>
      <c r="H803" s="1948"/>
      <c r="I803" s="1949"/>
      <c r="J803" s="1329">
        <f>IF(G803&gt;=0,0,"C60&gt;=0")</f>
        <v>0</v>
      </c>
      <c r="K803" s="1329">
        <f>IF(H803&gt;=0,0,"C70&gt;=0")</f>
        <v>0</v>
      </c>
      <c r="L803" s="1329"/>
      <c r="M803" s="1335">
        <f>IF(G803&lt;=1,0,"c60&lt;=1")</f>
        <v>0</v>
      </c>
      <c r="N803" s="1335">
        <f>IF(($G803*100)&gt;100,"C60 Invalid value greater than 100",IF(($G803*100)&lt;&gt;ROUND(($G803*100),2),($G803*100)&amp;": C60 Invalid no. of decimals",0))</f>
        <v>0</v>
      </c>
      <c r="O803" s="1335"/>
      <c r="P803" s="1315"/>
      <c r="Q803" s="1315"/>
      <c r="R803" s="1315"/>
      <c r="S803" s="1315"/>
      <c r="T803" s="1315"/>
      <c r="U803" s="1315"/>
    </row>
    <row r="804" spans="2:21">
      <c r="B804" s="1946"/>
      <c r="C804" s="1946"/>
      <c r="D804" s="1946"/>
      <c r="E804" s="1946"/>
      <c r="F804" s="1946"/>
      <c r="G804" s="1947"/>
      <c r="H804" s="1948"/>
      <c r="I804" s="1949"/>
      <c r="J804" s="1329">
        <f t="shared" ref="J804:J807" si="316">IF(G804&gt;=0,0,"C60&gt;=0")</f>
        <v>0</v>
      </c>
      <c r="K804" s="1329">
        <f t="shared" ref="K804:K807" si="317">IF(H804&gt;=0,0,"C70&gt;=0")</f>
        <v>0</v>
      </c>
      <c r="L804" s="1329"/>
      <c r="M804" s="1335">
        <f t="shared" ref="M804:M807" si="318">IF(G804&lt;=1,0,"c60&lt;=1")</f>
        <v>0</v>
      </c>
      <c r="N804" s="1335">
        <f t="shared" si="300"/>
        <v>0</v>
      </c>
      <c r="O804" s="1335"/>
      <c r="P804" s="1315"/>
      <c r="Q804" s="1315"/>
      <c r="R804" s="1315"/>
      <c r="S804" s="1315"/>
      <c r="T804" s="1315"/>
      <c r="U804" s="1315"/>
    </row>
    <row r="805" spans="2:21">
      <c r="B805" s="1946"/>
      <c r="C805" s="1946"/>
      <c r="D805" s="1946"/>
      <c r="E805" s="1946"/>
      <c r="F805" s="1946"/>
      <c r="G805" s="1947"/>
      <c r="H805" s="1948"/>
      <c r="I805" s="1949"/>
      <c r="J805" s="1329">
        <f t="shared" si="316"/>
        <v>0</v>
      </c>
      <c r="K805" s="1329">
        <f t="shared" si="317"/>
        <v>0</v>
      </c>
      <c r="L805" s="1329"/>
      <c r="M805" s="1335">
        <f t="shared" si="318"/>
        <v>0</v>
      </c>
      <c r="N805" s="1335">
        <f t="shared" si="300"/>
        <v>0</v>
      </c>
      <c r="O805" s="1335"/>
      <c r="P805" s="1315"/>
      <c r="Q805" s="1315"/>
      <c r="R805" s="1315"/>
      <c r="S805" s="1315"/>
      <c r="T805" s="1315"/>
      <c r="U805" s="1315"/>
    </row>
    <row r="806" spans="2:21">
      <c r="B806" s="1946"/>
      <c r="C806" s="1946"/>
      <c r="D806" s="1946"/>
      <c r="E806" s="1946"/>
      <c r="F806" s="1946"/>
      <c r="G806" s="1947"/>
      <c r="H806" s="1948"/>
      <c r="I806" s="1949"/>
      <c r="J806" s="1329">
        <f t="shared" si="316"/>
        <v>0</v>
      </c>
      <c r="K806" s="1329">
        <f t="shared" si="317"/>
        <v>0</v>
      </c>
      <c r="L806" s="1329"/>
      <c r="M806" s="1335">
        <f t="shared" si="318"/>
        <v>0</v>
      </c>
      <c r="N806" s="1335">
        <f t="shared" si="300"/>
        <v>0</v>
      </c>
      <c r="O806" s="1335"/>
      <c r="P806" s="1315"/>
      <c r="Q806" s="1315"/>
      <c r="R806" s="1315"/>
      <c r="S806" s="1315"/>
      <c r="T806" s="1315"/>
      <c r="U806" s="1315"/>
    </row>
    <row r="807" spans="2:21">
      <c r="B807" s="1946"/>
      <c r="C807" s="1946"/>
      <c r="D807" s="1946"/>
      <c r="E807" s="1946"/>
      <c r="F807" s="1946"/>
      <c r="G807" s="1947"/>
      <c r="H807" s="1948"/>
      <c r="I807" s="1949"/>
      <c r="J807" s="1329">
        <f t="shared" si="316"/>
        <v>0</v>
      </c>
      <c r="K807" s="1329">
        <f t="shared" si="317"/>
        <v>0</v>
      </c>
      <c r="L807" s="1329"/>
      <c r="M807" s="1335">
        <f t="shared" si="318"/>
        <v>0</v>
      </c>
      <c r="N807" s="1335">
        <f t="shared" si="300"/>
        <v>0</v>
      </c>
      <c r="O807" s="1335"/>
      <c r="P807" s="1315"/>
      <c r="Q807" s="1315"/>
      <c r="R807" s="1315"/>
      <c r="S807" s="1315"/>
      <c r="T807" s="1315"/>
      <c r="U807" s="1315"/>
    </row>
    <row r="808" spans="2:21">
      <c r="B808" s="1946"/>
      <c r="C808" s="1946"/>
      <c r="D808" s="1946"/>
      <c r="E808" s="1946"/>
      <c r="F808" s="1946"/>
      <c r="G808" s="1947"/>
      <c r="H808" s="1948"/>
      <c r="I808" s="1949"/>
      <c r="J808" s="1329">
        <f>IF(G808&gt;=0,0,"C60&gt;=0")</f>
        <v>0</v>
      </c>
      <c r="K808" s="1329">
        <f>IF(H808&gt;=0,0,"C70&gt;=0")</f>
        <v>0</v>
      </c>
      <c r="L808" s="1329"/>
      <c r="M808" s="1335">
        <f>IF(G808&lt;=1,0,"c60&lt;=1")</f>
        <v>0</v>
      </c>
      <c r="N808" s="1335">
        <f>IF(($G808*100)&gt;100,"C60 Invalid value greater than 100",IF(($G808*100)&lt;&gt;ROUND(($G808*100),2),($G808*100)&amp;": C60 Invalid no. of decimals",0))</f>
        <v>0</v>
      </c>
      <c r="O808" s="1335"/>
      <c r="P808" s="1315"/>
      <c r="Q808" s="1315"/>
      <c r="R808" s="1315"/>
      <c r="S808" s="1315"/>
      <c r="T808" s="1315"/>
      <c r="U808" s="1315"/>
    </row>
    <row r="809" spans="2:21">
      <c r="B809" s="1946"/>
      <c r="C809" s="1946"/>
      <c r="D809" s="1946"/>
      <c r="E809" s="1946"/>
      <c r="F809" s="1946"/>
      <c r="G809" s="1947"/>
      <c r="H809" s="1948"/>
      <c r="I809" s="1949"/>
      <c r="J809" s="1329">
        <f t="shared" ref="J809:J812" si="319">IF(G809&gt;=0,0,"C60&gt;=0")</f>
        <v>0</v>
      </c>
      <c r="K809" s="1329">
        <f t="shared" ref="K809:K812" si="320">IF(H809&gt;=0,0,"C70&gt;=0")</f>
        <v>0</v>
      </c>
      <c r="L809" s="1329"/>
      <c r="M809" s="1335">
        <f t="shared" ref="M809:M812" si="321">IF(G809&lt;=1,0,"c60&lt;=1")</f>
        <v>0</v>
      </c>
      <c r="N809" s="1335">
        <f t="shared" si="300"/>
        <v>0</v>
      </c>
      <c r="O809" s="1335"/>
      <c r="P809" s="1315"/>
      <c r="Q809" s="1315"/>
      <c r="R809" s="1315"/>
      <c r="S809" s="1315"/>
      <c r="T809" s="1315"/>
      <c r="U809" s="1315"/>
    </row>
    <row r="810" spans="2:21">
      <c r="B810" s="1946"/>
      <c r="C810" s="1946"/>
      <c r="D810" s="1946"/>
      <c r="E810" s="1946"/>
      <c r="F810" s="1946"/>
      <c r="G810" s="1947"/>
      <c r="H810" s="1948"/>
      <c r="I810" s="1949"/>
      <c r="J810" s="1329">
        <f t="shared" si="319"/>
        <v>0</v>
      </c>
      <c r="K810" s="1329">
        <f t="shared" si="320"/>
        <v>0</v>
      </c>
      <c r="L810" s="1329"/>
      <c r="M810" s="1335">
        <f t="shared" si="321"/>
        <v>0</v>
      </c>
      <c r="N810" s="1335">
        <f t="shared" si="300"/>
        <v>0</v>
      </c>
      <c r="O810" s="1335"/>
      <c r="P810" s="1315"/>
      <c r="Q810" s="1315"/>
      <c r="R810" s="1315"/>
      <c r="S810" s="1315"/>
      <c r="T810" s="1315"/>
      <c r="U810" s="1315"/>
    </row>
    <row r="811" spans="2:21">
      <c r="B811" s="1946"/>
      <c r="C811" s="1946"/>
      <c r="D811" s="1946"/>
      <c r="E811" s="1946"/>
      <c r="F811" s="1946"/>
      <c r="G811" s="1947"/>
      <c r="H811" s="1948"/>
      <c r="I811" s="1949"/>
      <c r="J811" s="1329">
        <f t="shared" si="319"/>
        <v>0</v>
      </c>
      <c r="K811" s="1329">
        <f t="shared" si="320"/>
        <v>0</v>
      </c>
      <c r="L811" s="1329"/>
      <c r="M811" s="1335">
        <f t="shared" si="321"/>
        <v>0</v>
      </c>
      <c r="N811" s="1335">
        <f t="shared" si="300"/>
        <v>0</v>
      </c>
      <c r="O811" s="1335"/>
      <c r="P811" s="1315"/>
      <c r="Q811" s="1315"/>
      <c r="R811" s="1315"/>
      <c r="S811" s="1315"/>
      <c r="T811" s="1315"/>
      <c r="U811" s="1315"/>
    </row>
    <row r="812" spans="2:21">
      <c r="B812" s="1946"/>
      <c r="C812" s="1946"/>
      <c r="D812" s="1946"/>
      <c r="E812" s="1946"/>
      <c r="F812" s="1946"/>
      <c r="G812" s="1947"/>
      <c r="H812" s="1948"/>
      <c r="I812" s="1949"/>
      <c r="J812" s="1329">
        <f t="shared" si="319"/>
        <v>0</v>
      </c>
      <c r="K812" s="1329">
        <f t="shared" si="320"/>
        <v>0</v>
      </c>
      <c r="L812" s="1329"/>
      <c r="M812" s="1335">
        <f t="shared" si="321"/>
        <v>0</v>
      </c>
      <c r="N812" s="1335">
        <f t="shared" si="300"/>
        <v>0</v>
      </c>
      <c r="O812" s="1335"/>
      <c r="P812" s="1315"/>
      <c r="Q812" s="1315"/>
      <c r="R812" s="1315"/>
      <c r="S812" s="1315"/>
      <c r="T812" s="1315"/>
      <c r="U812" s="1315"/>
    </row>
    <row r="813" spans="2:21">
      <c r="B813" s="1946"/>
      <c r="C813" s="1946"/>
      <c r="D813" s="1946"/>
      <c r="E813" s="1946"/>
      <c r="F813" s="1946"/>
      <c r="G813" s="1947"/>
      <c r="H813" s="1948"/>
      <c r="I813" s="1949"/>
      <c r="J813" s="1329">
        <f>IF(G813&gt;=0,0,"C60&gt;=0")</f>
        <v>0</v>
      </c>
      <c r="K813" s="1329">
        <f>IF(H813&gt;=0,0,"C70&gt;=0")</f>
        <v>0</v>
      </c>
      <c r="L813" s="1329"/>
      <c r="M813" s="1335">
        <f>IF(G813&lt;=1,0,"c60&lt;=1")</f>
        <v>0</v>
      </c>
      <c r="N813" s="1335">
        <f>IF(($G813*100)&gt;100,"C60 Invalid value greater than 100",IF(($G813*100)&lt;&gt;ROUND(($G813*100),2),($G813*100)&amp;": C60 Invalid no. of decimals",0))</f>
        <v>0</v>
      </c>
      <c r="O813" s="1335"/>
      <c r="P813" s="1315"/>
      <c r="Q813" s="1315"/>
      <c r="R813" s="1315"/>
      <c r="S813" s="1315"/>
      <c r="T813" s="1315"/>
      <c r="U813" s="1315"/>
    </row>
    <row r="814" spans="2:21">
      <c r="B814" s="1946"/>
      <c r="C814" s="1946"/>
      <c r="D814" s="1946"/>
      <c r="E814" s="1946"/>
      <c r="F814" s="1946"/>
      <c r="G814" s="1947"/>
      <c r="H814" s="1948"/>
      <c r="I814" s="1949"/>
      <c r="J814" s="1329">
        <f t="shared" ref="J814:J817" si="322">IF(G814&gt;=0,0,"C60&gt;=0")</f>
        <v>0</v>
      </c>
      <c r="K814" s="1329">
        <f t="shared" ref="K814:K817" si="323">IF(H814&gt;=0,0,"C70&gt;=0")</f>
        <v>0</v>
      </c>
      <c r="L814" s="1329"/>
      <c r="M814" s="1335">
        <f t="shared" ref="M814:M817" si="324">IF(G814&lt;=1,0,"c60&lt;=1")</f>
        <v>0</v>
      </c>
      <c r="N814" s="1335">
        <f t="shared" si="300"/>
        <v>0</v>
      </c>
      <c r="O814" s="1335"/>
      <c r="P814" s="1315"/>
      <c r="Q814" s="1315"/>
      <c r="R814" s="1315"/>
      <c r="S814" s="1315"/>
      <c r="T814" s="1315"/>
      <c r="U814" s="1315"/>
    </row>
    <row r="815" spans="2:21">
      <c r="B815" s="1946"/>
      <c r="C815" s="1946"/>
      <c r="D815" s="1946"/>
      <c r="E815" s="1946"/>
      <c r="F815" s="1946"/>
      <c r="G815" s="1947"/>
      <c r="H815" s="1948"/>
      <c r="I815" s="1949"/>
      <c r="J815" s="1329">
        <f t="shared" si="322"/>
        <v>0</v>
      </c>
      <c r="K815" s="1329">
        <f t="shared" si="323"/>
        <v>0</v>
      </c>
      <c r="L815" s="1329"/>
      <c r="M815" s="1335">
        <f t="shared" si="324"/>
        <v>0</v>
      </c>
      <c r="N815" s="1335">
        <f t="shared" si="300"/>
        <v>0</v>
      </c>
      <c r="O815" s="1335"/>
      <c r="P815" s="1315"/>
      <c r="Q815" s="1315"/>
      <c r="R815" s="1315"/>
      <c r="S815" s="1315"/>
      <c r="T815" s="1315"/>
      <c r="U815" s="1315"/>
    </row>
    <row r="816" spans="2:21">
      <c r="B816" s="1946"/>
      <c r="C816" s="1946"/>
      <c r="D816" s="1946"/>
      <c r="E816" s="1946"/>
      <c r="F816" s="1946"/>
      <c r="G816" s="1947"/>
      <c r="H816" s="1948"/>
      <c r="I816" s="1949"/>
      <c r="J816" s="1329">
        <f t="shared" si="322"/>
        <v>0</v>
      </c>
      <c r="K816" s="1329">
        <f t="shared" si="323"/>
        <v>0</v>
      </c>
      <c r="L816" s="1329"/>
      <c r="M816" s="1335">
        <f t="shared" si="324"/>
        <v>0</v>
      </c>
      <c r="N816" s="1335">
        <f t="shared" si="300"/>
        <v>0</v>
      </c>
      <c r="O816" s="1335"/>
      <c r="P816" s="1315"/>
      <c r="Q816" s="1315"/>
      <c r="R816" s="1315"/>
      <c r="S816" s="1315"/>
      <c r="T816" s="1315"/>
      <c r="U816" s="1315"/>
    </row>
    <row r="817" spans="2:21">
      <c r="B817" s="1946"/>
      <c r="C817" s="1946"/>
      <c r="D817" s="1946"/>
      <c r="E817" s="1946"/>
      <c r="F817" s="1946"/>
      <c r="G817" s="1947"/>
      <c r="H817" s="1948"/>
      <c r="I817" s="1949"/>
      <c r="J817" s="1329">
        <f t="shared" si="322"/>
        <v>0</v>
      </c>
      <c r="K817" s="1329">
        <f t="shared" si="323"/>
        <v>0</v>
      </c>
      <c r="L817" s="1329"/>
      <c r="M817" s="1335">
        <f t="shared" si="324"/>
        <v>0</v>
      </c>
      <c r="N817" s="1335">
        <f t="shared" si="300"/>
        <v>0</v>
      </c>
      <c r="O817" s="1335"/>
      <c r="P817" s="1315"/>
      <c r="Q817" s="1315"/>
      <c r="R817" s="1315"/>
      <c r="S817" s="1315"/>
      <c r="T817" s="1315"/>
      <c r="U817" s="1315"/>
    </row>
    <row r="818" spans="2:21">
      <c r="B818" s="1946"/>
      <c r="C818" s="1946"/>
      <c r="D818" s="1946"/>
      <c r="E818" s="1946"/>
      <c r="F818" s="1946"/>
      <c r="G818" s="1947"/>
      <c r="H818" s="1948"/>
      <c r="I818" s="1949"/>
      <c r="J818" s="1329">
        <f>IF(G818&gt;=0,0,"C60&gt;=0")</f>
        <v>0</v>
      </c>
      <c r="K818" s="1329">
        <f>IF(H818&gt;=0,0,"C70&gt;=0")</f>
        <v>0</v>
      </c>
      <c r="L818" s="1329"/>
      <c r="M818" s="1335">
        <f>IF(G818&lt;=1,0,"c60&lt;=1")</f>
        <v>0</v>
      </c>
      <c r="N818" s="1335">
        <f>IF(($G818*100)&gt;100,"C60 Invalid value greater than 100",IF(($G818*100)&lt;&gt;ROUND(($G818*100),2),($G818*100)&amp;": C60 Invalid no. of decimals",0))</f>
        <v>0</v>
      </c>
      <c r="O818" s="1335"/>
      <c r="P818" s="1315"/>
      <c r="Q818" s="1315"/>
      <c r="R818" s="1315"/>
      <c r="S818" s="1315"/>
      <c r="T818" s="1315"/>
      <c r="U818" s="1315"/>
    </row>
    <row r="819" spans="2:21">
      <c r="B819" s="1946"/>
      <c r="C819" s="1946"/>
      <c r="D819" s="1946"/>
      <c r="E819" s="1946"/>
      <c r="F819" s="1946"/>
      <c r="G819" s="1947"/>
      <c r="H819" s="1948"/>
      <c r="I819" s="1949"/>
      <c r="J819" s="1329">
        <f t="shared" ref="J819:J822" si="325">IF(G819&gt;=0,0,"C60&gt;=0")</f>
        <v>0</v>
      </c>
      <c r="K819" s="1329">
        <f t="shared" ref="K819:K822" si="326">IF(H819&gt;=0,0,"C70&gt;=0")</f>
        <v>0</v>
      </c>
      <c r="L819" s="1329"/>
      <c r="M819" s="1335">
        <f t="shared" ref="M819:M822" si="327">IF(G819&lt;=1,0,"c60&lt;=1")</f>
        <v>0</v>
      </c>
      <c r="N819" s="1335">
        <f t="shared" si="300"/>
        <v>0</v>
      </c>
      <c r="O819" s="1335"/>
      <c r="P819" s="1315"/>
      <c r="Q819" s="1315"/>
      <c r="R819" s="1315"/>
      <c r="S819" s="1315"/>
      <c r="T819" s="1315"/>
      <c r="U819" s="1315"/>
    </row>
    <row r="820" spans="2:21">
      <c r="B820" s="1946"/>
      <c r="C820" s="1946"/>
      <c r="D820" s="1946"/>
      <c r="E820" s="1946"/>
      <c r="F820" s="1946"/>
      <c r="G820" s="1947"/>
      <c r="H820" s="1948"/>
      <c r="I820" s="1949"/>
      <c r="J820" s="1329">
        <f t="shared" si="325"/>
        <v>0</v>
      </c>
      <c r="K820" s="1329">
        <f t="shared" si="326"/>
        <v>0</v>
      </c>
      <c r="L820" s="1329"/>
      <c r="M820" s="1335">
        <f t="shared" si="327"/>
        <v>0</v>
      </c>
      <c r="N820" s="1335">
        <f t="shared" si="300"/>
        <v>0</v>
      </c>
      <c r="O820" s="1335"/>
      <c r="P820" s="1315"/>
      <c r="Q820" s="1315"/>
      <c r="R820" s="1315"/>
      <c r="S820" s="1315"/>
      <c r="T820" s="1315"/>
      <c r="U820" s="1315"/>
    </row>
    <row r="821" spans="2:21">
      <c r="B821" s="1946"/>
      <c r="C821" s="1946"/>
      <c r="D821" s="1946"/>
      <c r="E821" s="1946"/>
      <c r="F821" s="1946"/>
      <c r="G821" s="1947"/>
      <c r="H821" s="1948"/>
      <c r="I821" s="1949"/>
      <c r="J821" s="1329">
        <f t="shared" si="325"/>
        <v>0</v>
      </c>
      <c r="K821" s="1329">
        <f t="shared" si="326"/>
        <v>0</v>
      </c>
      <c r="L821" s="1329"/>
      <c r="M821" s="1335">
        <f t="shared" si="327"/>
        <v>0</v>
      </c>
      <c r="N821" s="1335">
        <f t="shared" si="300"/>
        <v>0</v>
      </c>
      <c r="O821" s="1335"/>
      <c r="P821" s="1315"/>
      <c r="Q821" s="1315"/>
      <c r="R821" s="1315"/>
      <c r="S821" s="1315"/>
      <c r="T821" s="1315"/>
      <c r="U821" s="1315"/>
    </row>
    <row r="822" spans="2:21">
      <c r="B822" s="1946"/>
      <c r="C822" s="1946"/>
      <c r="D822" s="1946"/>
      <c r="E822" s="1946"/>
      <c r="F822" s="1946"/>
      <c r="G822" s="1947"/>
      <c r="H822" s="1948"/>
      <c r="I822" s="1949"/>
      <c r="J822" s="1329">
        <f t="shared" si="325"/>
        <v>0</v>
      </c>
      <c r="K822" s="1329">
        <f t="shared" si="326"/>
        <v>0</v>
      </c>
      <c r="L822" s="1329"/>
      <c r="M822" s="1335">
        <f t="shared" si="327"/>
        <v>0</v>
      </c>
      <c r="N822" s="1335">
        <f t="shared" si="300"/>
        <v>0</v>
      </c>
      <c r="O822" s="1335"/>
      <c r="P822" s="1315"/>
      <c r="Q822" s="1315"/>
      <c r="R822" s="1315"/>
      <c r="S822" s="1315"/>
      <c r="T822" s="1315"/>
      <c r="U822" s="1315"/>
    </row>
    <row r="823" spans="2:21">
      <c r="B823" s="1946"/>
      <c r="C823" s="1946"/>
      <c r="D823" s="1946"/>
      <c r="E823" s="1946"/>
      <c r="F823" s="1946"/>
      <c r="G823" s="1947"/>
      <c r="H823" s="1948"/>
      <c r="I823" s="1949"/>
      <c r="J823" s="1329">
        <f>IF(G823&gt;=0,0,"C60&gt;=0")</f>
        <v>0</v>
      </c>
      <c r="K823" s="1329">
        <f>IF(H823&gt;=0,0,"C70&gt;=0")</f>
        <v>0</v>
      </c>
      <c r="L823" s="1329"/>
      <c r="M823" s="1335">
        <f>IF(G823&lt;=1,0,"c60&lt;=1")</f>
        <v>0</v>
      </c>
      <c r="N823" s="1335">
        <f>IF(($G823*100)&gt;100,"C60 Invalid value greater than 100",IF(($G823*100)&lt;&gt;ROUND(($G823*100),2),($G823*100)&amp;": C60 Invalid no. of decimals",0))</f>
        <v>0</v>
      </c>
      <c r="O823" s="1335"/>
      <c r="P823" s="1315"/>
      <c r="Q823" s="1315"/>
      <c r="R823" s="1315"/>
      <c r="S823" s="1315"/>
      <c r="T823" s="1315"/>
      <c r="U823" s="1315"/>
    </row>
    <row r="824" spans="2:21">
      <c r="B824" s="1946"/>
      <c r="C824" s="1946"/>
      <c r="D824" s="1946"/>
      <c r="E824" s="1946"/>
      <c r="F824" s="1946"/>
      <c r="G824" s="1947"/>
      <c r="H824" s="1948"/>
      <c r="I824" s="1949"/>
      <c r="J824" s="1329">
        <f t="shared" ref="J824:J827" si="328">IF(G824&gt;=0,0,"C60&gt;=0")</f>
        <v>0</v>
      </c>
      <c r="K824" s="1329">
        <f t="shared" ref="K824:K827" si="329">IF(H824&gt;=0,0,"C70&gt;=0")</f>
        <v>0</v>
      </c>
      <c r="L824" s="1329"/>
      <c r="M824" s="1335">
        <f t="shared" ref="M824:M827" si="330">IF(G824&lt;=1,0,"c60&lt;=1")</f>
        <v>0</v>
      </c>
      <c r="N824" s="1335">
        <f t="shared" si="300"/>
        <v>0</v>
      </c>
      <c r="O824" s="1335"/>
      <c r="P824" s="1315"/>
      <c r="Q824" s="1315"/>
      <c r="R824" s="1315"/>
      <c r="S824" s="1315"/>
      <c r="T824" s="1315"/>
      <c r="U824" s="1315"/>
    </row>
    <row r="825" spans="2:21">
      <c r="B825" s="1946"/>
      <c r="C825" s="1946"/>
      <c r="D825" s="1946"/>
      <c r="E825" s="1946"/>
      <c r="F825" s="1946"/>
      <c r="G825" s="1947"/>
      <c r="H825" s="1948"/>
      <c r="I825" s="1949"/>
      <c r="J825" s="1329">
        <f t="shared" si="328"/>
        <v>0</v>
      </c>
      <c r="K825" s="1329">
        <f t="shared" si="329"/>
        <v>0</v>
      </c>
      <c r="L825" s="1329"/>
      <c r="M825" s="1335">
        <f t="shared" si="330"/>
        <v>0</v>
      </c>
      <c r="N825" s="1335">
        <f t="shared" si="300"/>
        <v>0</v>
      </c>
      <c r="O825" s="1335"/>
      <c r="P825" s="1315"/>
      <c r="Q825" s="1315"/>
      <c r="R825" s="1315"/>
      <c r="S825" s="1315"/>
      <c r="T825" s="1315"/>
      <c r="U825" s="1315"/>
    </row>
    <row r="826" spans="2:21">
      <c r="B826" s="1946"/>
      <c r="C826" s="1946"/>
      <c r="D826" s="1946"/>
      <c r="E826" s="1946"/>
      <c r="F826" s="1946"/>
      <c r="G826" s="1947"/>
      <c r="H826" s="1948"/>
      <c r="I826" s="1949"/>
      <c r="J826" s="1329">
        <f t="shared" si="328"/>
        <v>0</v>
      </c>
      <c r="K826" s="1329">
        <f t="shared" si="329"/>
        <v>0</v>
      </c>
      <c r="L826" s="1329"/>
      <c r="M826" s="1335">
        <f t="shared" si="330"/>
        <v>0</v>
      </c>
      <c r="N826" s="1335">
        <f t="shared" si="300"/>
        <v>0</v>
      </c>
      <c r="O826" s="1335"/>
      <c r="P826" s="1315"/>
      <c r="Q826" s="1315"/>
      <c r="R826" s="1315"/>
      <c r="S826" s="1315"/>
      <c r="T826" s="1315"/>
      <c r="U826" s="1315"/>
    </row>
    <row r="827" spans="2:21">
      <c r="B827" s="1946"/>
      <c r="C827" s="1946"/>
      <c r="D827" s="1946"/>
      <c r="E827" s="1946"/>
      <c r="F827" s="1946"/>
      <c r="G827" s="1947"/>
      <c r="H827" s="1948"/>
      <c r="I827" s="1949"/>
      <c r="J827" s="1329">
        <f t="shared" si="328"/>
        <v>0</v>
      </c>
      <c r="K827" s="1329">
        <f t="shared" si="329"/>
        <v>0</v>
      </c>
      <c r="L827" s="1329"/>
      <c r="M827" s="1335">
        <f t="shared" si="330"/>
        <v>0</v>
      </c>
      <c r="N827" s="1335">
        <f t="shared" si="300"/>
        <v>0</v>
      </c>
      <c r="O827" s="1335"/>
      <c r="P827" s="1315"/>
      <c r="Q827" s="1315"/>
      <c r="R827" s="1315"/>
      <c r="S827" s="1315"/>
      <c r="T827" s="1315"/>
      <c r="U827" s="1315"/>
    </row>
    <row r="828" spans="2:21">
      <c r="B828" s="1946"/>
      <c r="C828" s="1946"/>
      <c r="D828" s="1946"/>
      <c r="E828" s="1946"/>
      <c r="F828" s="1946"/>
      <c r="G828" s="1947"/>
      <c r="H828" s="1948"/>
      <c r="I828" s="1949"/>
      <c r="J828" s="1329">
        <f>IF(G828&gt;=0,0,"C60&gt;=0")</f>
        <v>0</v>
      </c>
      <c r="K828" s="1329">
        <f>IF(H828&gt;=0,0,"C70&gt;=0")</f>
        <v>0</v>
      </c>
      <c r="L828" s="1329"/>
      <c r="M828" s="1335">
        <f>IF(G828&lt;=1,0,"c60&lt;=1")</f>
        <v>0</v>
      </c>
      <c r="N828" s="1335">
        <f>IF(($G828*100)&gt;100,"C60 Invalid value greater than 100",IF(($G828*100)&lt;&gt;ROUND(($G828*100),2),($G828*100)&amp;": C60 Invalid no. of decimals",0))</f>
        <v>0</v>
      </c>
      <c r="O828" s="1335"/>
      <c r="P828" s="1315"/>
      <c r="Q828" s="1315"/>
      <c r="R828" s="1315"/>
      <c r="S828" s="1315"/>
      <c r="T828" s="1315"/>
      <c r="U828" s="1315"/>
    </row>
    <row r="829" spans="2:21">
      <c r="B829" s="1946"/>
      <c r="C829" s="1946"/>
      <c r="D829" s="1946"/>
      <c r="E829" s="1946"/>
      <c r="F829" s="1946"/>
      <c r="G829" s="1947"/>
      <c r="H829" s="1948"/>
      <c r="I829" s="1949"/>
      <c r="J829" s="1329">
        <f t="shared" ref="J829:J832" si="331">IF(G829&gt;=0,0,"C60&gt;=0")</f>
        <v>0</v>
      </c>
      <c r="K829" s="1329">
        <f t="shared" ref="K829:K832" si="332">IF(H829&gt;=0,0,"C70&gt;=0")</f>
        <v>0</v>
      </c>
      <c r="L829" s="1329"/>
      <c r="M829" s="1335">
        <f t="shared" ref="M829:M832" si="333">IF(G829&lt;=1,0,"c60&lt;=1")</f>
        <v>0</v>
      </c>
      <c r="N829" s="1335">
        <f t="shared" si="300"/>
        <v>0</v>
      </c>
      <c r="O829" s="1335"/>
      <c r="P829" s="1315"/>
      <c r="Q829" s="1315"/>
      <c r="R829" s="1315"/>
      <c r="S829" s="1315"/>
      <c r="T829" s="1315"/>
      <c r="U829" s="1315"/>
    </row>
    <row r="830" spans="2:21">
      <c r="B830" s="1946"/>
      <c r="C830" s="1946"/>
      <c r="D830" s="1946"/>
      <c r="E830" s="1946"/>
      <c r="F830" s="1946"/>
      <c r="G830" s="1947"/>
      <c r="H830" s="1948"/>
      <c r="I830" s="1949"/>
      <c r="J830" s="1329">
        <f t="shared" si="331"/>
        <v>0</v>
      </c>
      <c r="K830" s="1329">
        <f t="shared" si="332"/>
        <v>0</v>
      </c>
      <c r="L830" s="1329"/>
      <c r="M830" s="1335">
        <f t="shared" si="333"/>
        <v>0</v>
      </c>
      <c r="N830" s="1335">
        <f t="shared" si="300"/>
        <v>0</v>
      </c>
      <c r="O830" s="1335"/>
      <c r="P830" s="1315"/>
      <c r="Q830" s="1315"/>
      <c r="R830" s="1315"/>
      <c r="S830" s="1315"/>
      <c r="T830" s="1315"/>
      <c r="U830" s="1315"/>
    </row>
    <row r="831" spans="2:21">
      <c r="B831" s="1946"/>
      <c r="C831" s="1946"/>
      <c r="D831" s="1946"/>
      <c r="E831" s="1946"/>
      <c r="F831" s="1946"/>
      <c r="G831" s="1947"/>
      <c r="H831" s="1948"/>
      <c r="I831" s="1949"/>
      <c r="J831" s="1329">
        <f t="shared" si="331"/>
        <v>0</v>
      </c>
      <c r="K831" s="1329">
        <f t="shared" si="332"/>
        <v>0</v>
      </c>
      <c r="L831" s="1329"/>
      <c r="M831" s="1335">
        <f t="shared" si="333"/>
        <v>0</v>
      </c>
      <c r="N831" s="1335">
        <f t="shared" si="300"/>
        <v>0</v>
      </c>
      <c r="O831" s="1335"/>
      <c r="P831" s="1315"/>
      <c r="Q831" s="1315"/>
      <c r="R831" s="1315"/>
      <c r="S831" s="1315"/>
      <c r="T831" s="1315"/>
      <c r="U831" s="1315"/>
    </row>
    <row r="832" spans="2:21">
      <c r="B832" s="1946"/>
      <c r="C832" s="1946"/>
      <c r="D832" s="1946"/>
      <c r="E832" s="1946"/>
      <c r="F832" s="1946"/>
      <c r="G832" s="1947"/>
      <c r="H832" s="1948"/>
      <c r="I832" s="1949"/>
      <c r="J832" s="1329">
        <f t="shared" si="331"/>
        <v>0</v>
      </c>
      <c r="K832" s="1329">
        <f t="shared" si="332"/>
        <v>0</v>
      </c>
      <c r="L832" s="1329"/>
      <c r="M832" s="1335">
        <f t="shared" si="333"/>
        <v>0</v>
      </c>
      <c r="N832" s="1335">
        <f t="shared" si="300"/>
        <v>0</v>
      </c>
      <c r="O832" s="1335"/>
      <c r="P832" s="1315"/>
      <c r="Q832" s="1315"/>
      <c r="R832" s="1315"/>
      <c r="S832" s="1315"/>
      <c r="T832" s="1315"/>
      <c r="U832" s="1315"/>
    </row>
    <row r="833" spans="2:21">
      <c r="B833" s="1946"/>
      <c r="C833" s="1946"/>
      <c r="D833" s="1946"/>
      <c r="E833" s="1946"/>
      <c r="F833" s="1946"/>
      <c r="G833" s="1947"/>
      <c r="H833" s="1948"/>
      <c r="I833" s="1949"/>
      <c r="J833" s="1329">
        <f>IF(G833&gt;=0,0,"C60&gt;=0")</f>
        <v>0</v>
      </c>
      <c r="K833" s="1329">
        <f>IF(H833&gt;=0,0,"C70&gt;=0")</f>
        <v>0</v>
      </c>
      <c r="L833" s="1329"/>
      <c r="M833" s="1335">
        <f>IF(G833&lt;=1,0,"c60&lt;=1")</f>
        <v>0</v>
      </c>
      <c r="N833" s="1335">
        <f>IF(($G833*100)&gt;100,"C60 Invalid value greater than 100",IF(($G833*100)&lt;&gt;ROUND(($G833*100),2),($G833*100)&amp;": C60 Invalid no. of decimals",0))</f>
        <v>0</v>
      </c>
      <c r="O833" s="1335"/>
      <c r="P833" s="1315"/>
      <c r="Q833" s="1315"/>
      <c r="R833" s="1315"/>
      <c r="S833" s="1315"/>
      <c r="T833" s="1315"/>
      <c r="U833" s="1315"/>
    </row>
    <row r="834" spans="2:21">
      <c r="B834" s="1946"/>
      <c r="C834" s="1946"/>
      <c r="D834" s="1946"/>
      <c r="E834" s="1946"/>
      <c r="F834" s="1946"/>
      <c r="G834" s="1947"/>
      <c r="H834" s="1948"/>
      <c r="I834" s="1949"/>
      <c r="J834" s="1329">
        <f t="shared" ref="J834:J837" si="334">IF(G834&gt;=0,0,"C60&gt;=0")</f>
        <v>0</v>
      </c>
      <c r="K834" s="1329">
        <f t="shared" ref="K834:K837" si="335">IF(H834&gt;=0,0,"C70&gt;=0")</f>
        <v>0</v>
      </c>
      <c r="L834" s="1329"/>
      <c r="M834" s="1335">
        <f t="shared" ref="M834:M837" si="336">IF(G834&lt;=1,0,"c60&lt;=1")</f>
        <v>0</v>
      </c>
      <c r="N834" s="1335">
        <f t="shared" si="300"/>
        <v>0</v>
      </c>
      <c r="O834" s="1335"/>
      <c r="P834" s="1315"/>
      <c r="Q834" s="1315"/>
      <c r="R834" s="1315"/>
      <c r="S834" s="1315"/>
      <c r="T834" s="1315"/>
      <c r="U834" s="1315"/>
    </row>
    <row r="835" spans="2:21">
      <c r="B835" s="1946"/>
      <c r="C835" s="1946"/>
      <c r="D835" s="1946"/>
      <c r="E835" s="1946"/>
      <c r="F835" s="1946"/>
      <c r="G835" s="1947"/>
      <c r="H835" s="1948"/>
      <c r="I835" s="1949"/>
      <c r="J835" s="1329">
        <f t="shared" si="334"/>
        <v>0</v>
      </c>
      <c r="K835" s="1329">
        <f t="shared" si="335"/>
        <v>0</v>
      </c>
      <c r="L835" s="1329"/>
      <c r="M835" s="1335">
        <f t="shared" si="336"/>
        <v>0</v>
      </c>
      <c r="N835" s="1335">
        <f t="shared" si="300"/>
        <v>0</v>
      </c>
      <c r="O835" s="1335"/>
      <c r="P835" s="1315"/>
      <c r="Q835" s="1315"/>
      <c r="R835" s="1315"/>
      <c r="S835" s="1315"/>
      <c r="T835" s="1315"/>
      <c r="U835" s="1315"/>
    </row>
    <row r="836" spans="2:21">
      <c r="B836" s="1946"/>
      <c r="C836" s="1946"/>
      <c r="D836" s="1946"/>
      <c r="E836" s="1946"/>
      <c r="F836" s="1946"/>
      <c r="G836" s="1947"/>
      <c r="H836" s="1948"/>
      <c r="I836" s="1949"/>
      <c r="J836" s="1329">
        <f t="shared" si="334"/>
        <v>0</v>
      </c>
      <c r="K836" s="1329">
        <f t="shared" si="335"/>
        <v>0</v>
      </c>
      <c r="L836" s="1329"/>
      <c r="M836" s="1335">
        <f t="shared" si="336"/>
        <v>0</v>
      </c>
      <c r="N836" s="1335">
        <f t="shared" si="300"/>
        <v>0</v>
      </c>
      <c r="O836" s="1335"/>
      <c r="P836" s="1315"/>
      <c r="Q836" s="1315"/>
      <c r="R836" s="1315"/>
      <c r="S836" s="1315"/>
      <c r="T836" s="1315"/>
      <c r="U836" s="1315"/>
    </row>
    <row r="837" spans="2:21">
      <c r="B837" s="1946"/>
      <c r="C837" s="1946"/>
      <c r="D837" s="1946"/>
      <c r="E837" s="1946"/>
      <c r="F837" s="1946"/>
      <c r="G837" s="1947"/>
      <c r="H837" s="1948"/>
      <c r="I837" s="1949"/>
      <c r="J837" s="1329">
        <f t="shared" si="334"/>
        <v>0</v>
      </c>
      <c r="K837" s="1329">
        <f t="shared" si="335"/>
        <v>0</v>
      </c>
      <c r="L837" s="1329"/>
      <c r="M837" s="1335">
        <f t="shared" si="336"/>
        <v>0</v>
      </c>
      <c r="N837" s="1335">
        <f t="shared" si="300"/>
        <v>0</v>
      </c>
      <c r="O837" s="1335"/>
      <c r="P837" s="1315"/>
      <c r="Q837" s="1315"/>
      <c r="R837" s="1315"/>
      <c r="S837" s="1315"/>
      <c r="T837" s="1315"/>
      <c r="U837" s="1315"/>
    </row>
    <row r="838" spans="2:21">
      <c r="B838" s="1946"/>
      <c r="C838" s="1946"/>
      <c r="D838" s="1946"/>
      <c r="E838" s="1946"/>
      <c r="F838" s="1946"/>
      <c r="G838" s="1947"/>
      <c r="H838" s="1948"/>
      <c r="I838" s="1949"/>
      <c r="J838" s="1329">
        <f>IF(G838&gt;=0,0,"C60&gt;=0")</f>
        <v>0</v>
      </c>
      <c r="K838" s="1329">
        <f>IF(H838&gt;=0,0,"C70&gt;=0")</f>
        <v>0</v>
      </c>
      <c r="L838" s="1329"/>
      <c r="M838" s="1335">
        <f>IF(G838&lt;=1,0,"c60&lt;=1")</f>
        <v>0</v>
      </c>
      <c r="N838" s="1335">
        <f>IF(($G838*100)&gt;100,"C60 Invalid value greater than 100",IF(($G838*100)&lt;&gt;ROUND(($G838*100),2),($G838*100)&amp;": C60 Invalid no. of decimals",0))</f>
        <v>0</v>
      </c>
      <c r="O838" s="1335"/>
      <c r="P838" s="1315"/>
      <c r="Q838" s="1315"/>
      <c r="R838" s="1315"/>
      <c r="S838" s="1315"/>
      <c r="T838" s="1315"/>
      <c r="U838" s="1315"/>
    </row>
    <row r="839" spans="2:21">
      <c r="B839" s="1946"/>
      <c r="C839" s="1946"/>
      <c r="D839" s="1946"/>
      <c r="E839" s="1946"/>
      <c r="F839" s="1946"/>
      <c r="G839" s="1947"/>
      <c r="H839" s="1948"/>
      <c r="I839" s="1949"/>
      <c r="J839" s="1329">
        <f t="shared" ref="J839:J842" si="337">IF(G839&gt;=0,0,"C60&gt;=0")</f>
        <v>0</v>
      </c>
      <c r="K839" s="1329">
        <f t="shared" ref="K839:K842" si="338">IF(H839&gt;=0,0,"C70&gt;=0")</f>
        <v>0</v>
      </c>
      <c r="L839" s="1329"/>
      <c r="M839" s="1335">
        <f t="shared" ref="M839:M842" si="339">IF(G839&lt;=1,0,"c60&lt;=1")</f>
        <v>0</v>
      </c>
      <c r="N839" s="1335">
        <f t="shared" si="277"/>
        <v>0</v>
      </c>
      <c r="O839" s="1335"/>
      <c r="P839" s="1315"/>
      <c r="Q839" s="1315"/>
      <c r="R839" s="1315"/>
      <c r="S839" s="1315"/>
      <c r="T839" s="1315"/>
      <c r="U839" s="1315"/>
    </row>
    <row r="840" spans="2:21">
      <c r="B840" s="1946"/>
      <c r="C840" s="1946"/>
      <c r="D840" s="1946"/>
      <c r="E840" s="1946"/>
      <c r="F840" s="1946"/>
      <c r="G840" s="1947"/>
      <c r="H840" s="1948"/>
      <c r="I840" s="1949"/>
      <c r="J840" s="1329">
        <f t="shared" si="337"/>
        <v>0</v>
      </c>
      <c r="K840" s="1329">
        <f t="shared" si="338"/>
        <v>0</v>
      </c>
      <c r="L840" s="1329"/>
      <c r="M840" s="1335">
        <f t="shared" si="339"/>
        <v>0</v>
      </c>
      <c r="N840" s="1335">
        <f t="shared" si="277"/>
        <v>0</v>
      </c>
      <c r="O840" s="1335"/>
      <c r="P840" s="1315"/>
      <c r="Q840" s="1315"/>
      <c r="R840" s="1315"/>
      <c r="S840" s="1315"/>
      <c r="T840" s="1315"/>
      <c r="U840" s="1315"/>
    </row>
    <row r="841" spans="2:21">
      <c r="B841" s="1946"/>
      <c r="C841" s="1946"/>
      <c r="D841" s="1946"/>
      <c r="E841" s="1946"/>
      <c r="F841" s="1946"/>
      <c r="G841" s="1947"/>
      <c r="H841" s="1948"/>
      <c r="I841" s="1949"/>
      <c r="J841" s="1329">
        <f t="shared" si="337"/>
        <v>0</v>
      </c>
      <c r="K841" s="1329">
        <f t="shared" si="338"/>
        <v>0</v>
      </c>
      <c r="L841" s="1329"/>
      <c r="M841" s="1335">
        <f t="shared" si="339"/>
        <v>0</v>
      </c>
      <c r="N841" s="1335">
        <f t="shared" si="277"/>
        <v>0</v>
      </c>
      <c r="O841" s="1335"/>
      <c r="P841" s="1315"/>
      <c r="Q841" s="1315"/>
      <c r="R841" s="1315"/>
      <c r="S841" s="1315"/>
      <c r="T841" s="1315"/>
      <c r="U841" s="1315"/>
    </row>
    <row r="842" spans="2:21">
      <c r="B842" s="1946"/>
      <c r="C842" s="1946"/>
      <c r="D842" s="1946"/>
      <c r="E842" s="1946"/>
      <c r="F842" s="1946"/>
      <c r="G842" s="1947"/>
      <c r="H842" s="1948"/>
      <c r="I842" s="1949"/>
      <c r="J842" s="1329">
        <f t="shared" si="337"/>
        <v>0</v>
      </c>
      <c r="K842" s="1329">
        <f t="shared" si="338"/>
        <v>0</v>
      </c>
      <c r="L842" s="1329"/>
      <c r="M842" s="1335">
        <f t="shared" si="339"/>
        <v>0</v>
      </c>
      <c r="N842" s="1335">
        <f t="shared" si="277"/>
        <v>0</v>
      </c>
      <c r="O842" s="1335"/>
      <c r="P842" s="1315"/>
      <c r="Q842" s="1315"/>
      <c r="R842" s="1315"/>
      <c r="S842" s="1315"/>
      <c r="T842" s="1315"/>
      <c r="U842" s="1315"/>
    </row>
    <row r="843" spans="2:21">
      <c r="B843" s="1946"/>
      <c r="C843" s="1946"/>
      <c r="D843" s="1946"/>
      <c r="E843" s="1946"/>
      <c r="F843" s="1946"/>
      <c r="G843" s="1947"/>
      <c r="H843" s="1948"/>
      <c r="I843" s="1949"/>
      <c r="J843" s="1329">
        <f>IF(G843&gt;=0,0,"C60&gt;=0")</f>
        <v>0</v>
      </c>
      <c r="K843" s="1329">
        <f>IF(H843&gt;=0,0,"C70&gt;=0")</f>
        <v>0</v>
      </c>
      <c r="L843" s="1329"/>
      <c r="M843" s="1335">
        <f>IF(G843&lt;=1,0,"c60&lt;=1")</f>
        <v>0</v>
      </c>
      <c r="N843" s="1335">
        <f>IF(($G843*100)&gt;100,"C60 Invalid value greater than 100",IF(($G843*100)&lt;&gt;ROUND(($G843*100),2),($G843*100)&amp;": C60 Invalid no. of decimals",0))</f>
        <v>0</v>
      </c>
      <c r="O843" s="1335"/>
      <c r="P843" s="1315"/>
      <c r="Q843" s="1315"/>
      <c r="R843" s="1315"/>
      <c r="S843" s="1315"/>
      <c r="T843" s="1315"/>
      <c r="U843" s="1315"/>
    </row>
    <row r="844" spans="2:21">
      <c r="B844" s="1946"/>
      <c r="C844" s="1946"/>
      <c r="D844" s="1946"/>
      <c r="E844" s="1946"/>
      <c r="F844" s="1946"/>
      <c r="G844" s="1947"/>
      <c r="H844" s="1948"/>
      <c r="I844" s="1949"/>
      <c r="J844" s="1329">
        <f t="shared" ref="J844:J847" si="340">IF(G844&gt;=0,0,"C60&gt;=0")</f>
        <v>0</v>
      </c>
      <c r="K844" s="1329">
        <f t="shared" ref="K844:K847" si="341">IF(H844&gt;=0,0,"C70&gt;=0")</f>
        <v>0</v>
      </c>
      <c r="L844" s="1329"/>
      <c r="M844" s="1335">
        <f t="shared" ref="M844:M847" si="342">IF(G844&lt;=1,0,"c60&lt;=1")</f>
        <v>0</v>
      </c>
      <c r="N844" s="1335">
        <f t="shared" si="277"/>
        <v>0</v>
      </c>
      <c r="O844" s="1335"/>
      <c r="P844" s="1315"/>
      <c r="Q844" s="1315"/>
      <c r="R844" s="1315"/>
      <c r="S844" s="1315"/>
      <c r="T844" s="1315"/>
      <c r="U844" s="1315"/>
    </row>
    <row r="845" spans="2:21">
      <c r="B845" s="1946"/>
      <c r="C845" s="1946"/>
      <c r="D845" s="1946"/>
      <c r="E845" s="1946"/>
      <c r="F845" s="1946"/>
      <c r="G845" s="1947"/>
      <c r="H845" s="1948"/>
      <c r="I845" s="1949"/>
      <c r="J845" s="1329">
        <f t="shared" si="340"/>
        <v>0</v>
      </c>
      <c r="K845" s="1329">
        <f t="shared" si="341"/>
        <v>0</v>
      </c>
      <c r="L845" s="1329"/>
      <c r="M845" s="1335">
        <f t="shared" si="342"/>
        <v>0</v>
      </c>
      <c r="N845" s="1335">
        <f t="shared" si="277"/>
        <v>0</v>
      </c>
      <c r="O845" s="1335"/>
      <c r="P845" s="1315"/>
      <c r="Q845" s="1315"/>
      <c r="R845" s="1315"/>
      <c r="S845" s="1315"/>
      <c r="T845" s="1315"/>
      <c r="U845" s="1315"/>
    </row>
    <row r="846" spans="2:21">
      <c r="B846" s="1946"/>
      <c r="C846" s="1946"/>
      <c r="D846" s="1946"/>
      <c r="E846" s="1946"/>
      <c r="F846" s="1946"/>
      <c r="G846" s="1947"/>
      <c r="H846" s="1948"/>
      <c r="I846" s="1949"/>
      <c r="J846" s="1329">
        <f t="shared" si="340"/>
        <v>0</v>
      </c>
      <c r="K846" s="1329">
        <f t="shared" si="341"/>
        <v>0</v>
      </c>
      <c r="L846" s="1329"/>
      <c r="M846" s="1335">
        <f t="shared" si="342"/>
        <v>0</v>
      </c>
      <c r="N846" s="1335">
        <f t="shared" si="277"/>
        <v>0</v>
      </c>
      <c r="O846" s="1335"/>
      <c r="P846" s="1315"/>
      <c r="Q846" s="1315"/>
      <c r="R846" s="1315"/>
      <c r="S846" s="1315"/>
      <c r="T846" s="1315"/>
      <c r="U846" s="1315"/>
    </row>
    <row r="847" spans="2:21">
      <c r="B847" s="1946"/>
      <c r="C847" s="1946"/>
      <c r="D847" s="1946"/>
      <c r="E847" s="1946"/>
      <c r="F847" s="1946"/>
      <c r="G847" s="1947"/>
      <c r="H847" s="1948"/>
      <c r="I847" s="1949"/>
      <c r="J847" s="1329">
        <f t="shared" si="340"/>
        <v>0</v>
      </c>
      <c r="K847" s="1329">
        <f t="shared" si="341"/>
        <v>0</v>
      </c>
      <c r="L847" s="1329"/>
      <c r="M847" s="1335">
        <f t="shared" si="342"/>
        <v>0</v>
      </c>
      <c r="N847" s="1335">
        <f t="shared" si="277"/>
        <v>0</v>
      </c>
      <c r="O847" s="1335"/>
      <c r="P847" s="1315"/>
      <c r="Q847" s="1315"/>
      <c r="R847" s="1315"/>
      <c r="S847" s="1315"/>
      <c r="T847" s="1315"/>
      <c r="U847" s="1315"/>
    </row>
    <row r="848" spans="2:21">
      <c r="B848" s="1946"/>
      <c r="C848" s="1946"/>
      <c r="D848" s="1946"/>
      <c r="E848" s="1946"/>
      <c r="F848" s="1946"/>
      <c r="G848" s="1947"/>
      <c r="H848" s="1948"/>
      <c r="I848" s="1949"/>
      <c r="J848" s="1329">
        <f>IF(G848&gt;=0,0,"C60&gt;=0")</f>
        <v>0</v>
      </c>
      <c r="K848" s="1329">
        <f>IF(H848&gt;=0,0,"C70&gt;=0")</f>
        <v>0</v>
      </c>
      <c r="L848" s="1329"/>
      <c r="M848" s="1335">
        <f>IF(G848&lt;=1,0,"c60&lt;=1")</f>
        <v>0</v>
      </c>
      <c r="N848" s="1335">
        <f>IF(($G848*100)&gt;100,"C60 Invalid value greater than 100",IF(($G848*100)&lt;&gt;ROUND(($G848*100),2),($G848*100)&amp;": C60 Invalid no. of decimals",0))</f>
        <v>0</v>
      </c>
      <c r="O848" s="1335"/>
      <c r="P848" s="1315"/>
      <c r="Q848" s="1315"/>
      <c r="R848" s="1315"/>
      <c r="S848" s="1315"/>
      <c r="T848" s="1315"/>
      <c r="U848" s="1315"/>
    </row>
    <row r="849" spans="1:21">
      <c r="B849" s="1946"/>
      <c r="C849" s="1946"/>
      <c r="D849" s="1946"/>
      <c r="E849" s="1946"/>
      <c r="F849" s="1946"/>
      <c r="G849" s="1947"/>
      <c r="H849" s="1948"/>
      <c r="I849" s="1949"/>
      <c r="J849" s="1329">
        <f t="shared" ref="J849:J851" si="343">IF(G849&gt;=0,0,"C60&gt;=0")</f>
        <v>0</v>
      </c>
      <c r="K849" s="1329">
        <f t="shared" ref="K849:K851" si="344">IF(H849&gt;=0,0,"C70&gt;=0")</f>
        <v>0</v>
      </c>
      <c r="L849" s="1329"/>
      <c r="M849" s="1335">
        <f t="shared" ref="M849:M851" si="345">IF(G849&lt;=1,0,"c60&lt;=1")</f>
        <v>0</v>
      </c>
      <c r="N849" s="1335">
        <f t="shared" si="277"/>
        <v>0</v>
      </c>
      <c r="O849" s="1335"/>
      <c r="P849" s="1315"/>
      <c r="Q849" s="1315"/>
      <c r="R849" s="1315"/>
      <c r="S849" s="1315"/>
      <c r="T849" s="1315"/>
      <c r="U849" s="1315"/>
    </row>
    <row r="850" spans="1:21">
      <c r="B850" s="1946"/>
      <c r="C850" s="1946"/>
      <c r="D850" s="1946"/>
      <c r="E850" s="1946"/>
      <c r="F850" s="1946"/>
      <c r="G850" s="1947"/>
      <c r="H850" s="1948"/>
      <c r="I850" s="1949"/>
      <c r="J850" s="1329">
        <f t="shared" si="343"/>
        <v>0</v>
      </c>
      <c r="K850" s="1329">
        <f t="shared" si="344"/>
        <v>0</v>
      </c>
      <c r="L850" s="1329"/>
      <c r="M850" s="1335">
        <f t="shared" si="345"/>
        <v>0</v>
      </c>
      <c r="N850" s="1335">
        <f t="shared" si="277"/>
        <v>0</v>
      </c>
      <c r="O850" s="1335"/>
      <c r="P850" s="1315"/>
      <c r="Q850" s="1315"/>
      <c r="R850" s="1315"/>
      <c r="S850" s="1315"/>
      <c r="T850" s="1315"/>
      <c r="U850" s="1315"/>
    </row>
    <row r="851" spans="1:21">
      <c r="B851" s="1946"/>
      <c r="C851" s="1946"/>
      <c r="D851" s="1946"/>
      <c r="E851" s="1946"/>
      <c r="F851" s="1946"/>
      <c r="G851" s="1947"/>
      <c r="H851" s="1948"/>
      <c r="I851" s="1949"/>
      <c r="J851" s="1329">
        <f t="shared" si="343"/>
        <v>0</v>
      </c>
      <c r="K851" s="1329">
        <f t="shared" si="344"/>
        <v>0</v>
      </c>
      <c r="L851" s="1329"/>
      <c r="M851" s="1335">
        <f t="shared" si="345"/>
        <v>0</v>
      </c>
      <c r="N851" s="1335">
        <f t="shared" si="277"/>
        <v>0</v>
      </c>
      <c r="O851" s="1335"/>
      <c r="P851" s="1315"/>
      <c r="Q851" s="1315"/>
      <c r="R851" s="1315"/>
      <c r="S851" s="1315"/>
      <c r="T851" s="1315"/>
      <c r="U851" s="1315"/>
    </row>
    <row r="852" spans="1:21">
      <c r="B852" s="1946"/>
      <c r="C852" s="1946"/>
      <c r="D852" s="1946"/>
      <c r="E852" s="1946"/>
      <c r="F852" s="1946"/>
      <c r="G852" s="1947"/>
      <c r="H852" s="1948"/>
      <c r="I852" s="1949"/>
      <c r="J852" s="1329">
        <f t="shared" si="281"/>
        <v>0</v>
      </c>
      <c r="K852" s="1329">
        <f t="shared" si="282"/>
        <v>0</v>
      </c>
      <c r="L852" s="1329"/>
      <c r="M852" s="1335">
        <f t="shared" si="283"/>
        <v>0</v>
      </c>
      <c r="N852" s="1335">
        <f t="shared" si="277"/>
        <v>0</v>
      </c>
      <c r="O852" s="1335"/>
      <c r="P852" s="1315"/>
      <c r="Q852" s="1315"/>
      <c r="R852" s="1315"/>
      <c r="S852" s="1315"/>
      <c r="T852" s="1315"/>
      <c r="U852" s="1315"/>
    </row>
    <row r="853" spans="1:21">
      <c r="A853" s="1100" t="s">
        <v>718</v>
      </c>
    </row>
    <row r="854" spans="1:21">
      <c r="A854" s="1156" t="s">
        <v>724</v>
      </c>
    </row>
    <row r="859" spans="1:21">
      <c r="A859" s="1100"/>
    </row>
  </sheetData>
  <sheetProtection password="C2F4" sheet="1" objects="1" scenarios="1"/>
  <dataValidations count="9">
    <dataValidation type="decimal" allowBlank="1" showInputMessage="1" showErrorMessage="1" error="Wrong number format" sqref="M15:N415 G431:G852">
      <formula1>0</formula1>
      <formula2>1</formula2>
    </dataValidation>
    <dataValidation type="whole" allowBlank="1" showInputMessage="1" showErrorMessage="1" error="Wrong number format or sign" sqref="F15:F415 T15:U415 H15:H415 R15:R415 H431:H852">
      <formula1>0</formula1>
      <formula2>99999999</formula2>
    </dataValidation>
    <dataValidation type="whole" allowBlank="1" showInputMessage="1" showErrorMessage="1" error="wrong number format or sign" sqref="G15:G415 I15:I415 S15:S415 I431:I852">
      <formula1>-99999999</formula1>
      <formula2>99999999</formula2>
    </dataValidation>
    <dataValidation type="list" allowBlank="1" showInputMessage="1" showErrorMessage="1" sqref="L15:L415">
      <formula1>nacecode</formula1>
    </dataValidation>
    <dataValidation type="list" allowBlank="1" showInputMessage="1" showErrorMessage="1" sqref="K15:K415">
      <formula1>Sectorofinvestee</formula1>
    </dataValidation>
    <dataValidation type="list" allowBlank="1" showInputMessage="1" showErrorMessage="1" sqref="O15:O415">
      <formula1>Groupstructure</formula1>
    </dataValidation>
    <dataValidation type="list" allowBlank="1" showInputMessage="1" showErrorMessage="1" sqref="P15:P415">
      <formula1>Accountinggroup</formula1>
    </dataValidation>
    <dataValidation type="list" allowBlank="1" showInputMessage="1" showErrorMessage="1" sqref="Q15:Q415">
      <formula1>CRRGroup</formula1>
    </dataValidation>
    <dataValidation type="list" allowBlank="1" showInputMessage="1" showErrorMessage="1" sqref="J15:J415">
      <formula1>country</formula1>
    </dataValidation>
  </dataValidations>
  <printOptions headings="1" gridLines="1"/>
  <pageMargins left="0.19685039370078741" right="0.19685039370078741" top="0.27559055118110237" bottom="0.23622047244094491" header="0.15748031496062992" footer="0.15748031496062992"/>
  <pageSetup paperSize="9" scale="30" fitToWidth="4" orientation="landscape" r:id="rId1"/>
  <rowBreaks count="2" manualBreakCount="2">
    <brk id="268" max="33" man="1"/>
    <brk id="415" max="33" man="1"/>
  </rowBreaks>
  <colBreaks count="1" manualBreakCount="1">
    <brk id="21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2:H252"/>
  <sheetViews>
    <sheetView workbookViewId="0"/>
  </sheetViews>
  <sheetFormatPr defaultColWidth="9.140625" defaultRowHeight="12.75"/>
  <cols>
    <col min="1" max="1" width="24" style="1233" bestFit="1" customWidth="1"/>
    <col min="2" max="2" width="48.42578125" style="1233" customWidth="1"/>
    <col min="3" max="3" width="28.42578125" style="1233" customWidth="1"/>
    <col min="4" max="4" width="24.28515625" style="1233" customWidth="1"/>
    <col min="5" max="7" width="9.140625" style="1233"/>
    <col min="8" max="8" width="30.42578125" style="1233" customWidth="1"/>
    <col min="9" max="16384" width="9.140625" style="1233"/>
  </cols>
  <sheetData>
    <row r="2" spans="1:8" ht="31.5">
      <c r="A2" s="1337" t="s">
        <v>1326</v>
      </c>
      <c r="B2" s="1337" t="s">
        <v>455</v>
      </c>
      <c r="C2" s="1337" t="s">
        <v>1342</v>
      </c>
      <c r="D2" s="1337" t="s">
        <v>1343</v>
      </c>
      <c r="H2" s="1337" t="s">
        <v>1344</v>
      </c>
    </row>
    <row r="3" spans="1:8" ht="15">
      <c r="A3" s="1338" t="s">
        <v>99</v>
      </c>
      <c r="B3" s="1338" t="s">
        <v>153</v>
      </c>
      <c r="C3" s="1338" t="s">
        <v>2213</v>
      </c>
      <c r="D3" s="1338" t="s">
        <v>2213</v>
      </c>
      <c r="H3" s="1339" t="s">
        <v>752</v>
      </c>
    </row>
    <row r="4" spans="1:8" ht="30">
      <c r="A4" s="1338" t="s">
        <v>100</v>
      </c>
      <c r="B4" s="1338" t="s">
        <v>154</v>
      </c>
      <c r="C4" s="1338" t="s">
        <v>2212</v>
      </c>
      <c r="D4" s="1338" t="s">
        <v>2212</v>
      </c>
      <c r="H4" s="1339" t="s">
        <v>725</v>
      </c>
    </row>
    <row r="5" spans="1:8" ht="15">
      <c r="A5" s="1338" t="s">
        <v>101</v>
      </c>
      <c r="B5" s="1338" t="s">
        <v>155</v>
      </c>
      <c r="C5" s="1338" t="s">
        <v>2211</v>
      </c>
      <c r="D5" s="1338" t="s">
        <v>2211</v>
      </c>
      <c r="H5" s="1339" t="s">
        <v>726</v>
      </c>
    </row>
    <row r="6" spans="1:8" ht="75">
      <c r="A6" s="1338" t="s">
        <v>2258</v>
      </c>
      <c r="C6" s="1338" t="s">
        <v>2210</v>
      </c>
      <c r="D6" s="1338" t="s">
        <v>2210</v>
      </c>
      <c r="H6" s="1339" t="s">
        <v>727</v>
      </c>
    </row>
    <row r="7" spans="1:8" ht="60">
      <c r="A7" s="1338" t="s">
        <v>2259</v>
      </c>
      <c r="H7" s="1339" t="s">
        <v>728</v>
      </c>
    </row>
    <row r="8" spans="1:8" ht="15">
      <c r="A8" s="1338" t="s">
        <v>2260</v>
      </c>
      <c r="H8" s="1339" t="s">
        <v>729</v>
      </c>
    </row>
    <row r="9" spans="1:8" ht="30">
      <c r="A9" s="1338" t="s">
        <v>127</v>
      </c>
      <c r="H9" s="1339" t="s">
        <v>730</v>
      </c>
    </row>
    <row r="10" spans="1:8" ht="15">
      <c r="A10" s="1338" t="s">
        <v>128</v>
      </c>
      <c r="H10" s="1339" t="s">
        <v>731</v>
      </c>
    </row>
    <row r="11" spans="1:8" ht="15.75">
      <c r="B11" s="1337" t="s">
        <v>1346</v>
      </c>
      <c r="H11" s="1339" t="s">
        <v>732</v>
      </c>
    </row>
    <row r="12" spans="1:8" ht="15">
      <c r="B12" s="1342" t="s">
        <v>1348</v>
      </c>
      <c r="H12" s="1339" t="s">
        <v>733</v>
      </c>
    </row>
    <row r="13" spans="1:8" ht="31.5">
      <c r="A13" s="1340" t="s">
        <v>1345</v>
      </c>
      <c r="B13" s="1342" t="s">
        <v>1350</v>
      </c>
      <c r="H13" s="1339" t="s">
        <v>734</v>
      </c>
    </row>
    <row r="14" spans="1:8" ht="15">
      <c r="A14" s="1341" t="s">
        <v>1347</v>
      </c>
      <c r="B14" s="1342" t="s">
        <v>1352</v>
      </c>
      <c r="H14" s="1339" t="s">
        <v>735</v>
      </c>
    </row>
    <row r="15" spans="1:8" ht="15">
      <c r="A15" s="1341" t="s">
        <v>1349</v>
      </c>
      <c r="B15" s="1341" t="s">
        <v>1354</v>
      </c>
      <c r="H15" s="1339" t="s">
        <v>736</v>
      </c>
    </row>
    <row r="16" spans="1:8" ht="30">
      <c r="A16" s="1341" t="s">
        <v>1351</v>
      </c>
      <c r="B16" s="1342" t="s">
        <v>1356</v>
      </c>
      <c r="H16" s="1339" t="s">
        <v>737</v>
      </c>
    </row>
    <row r="17" spans="1:8" ht="15">
      <c r="A17" s="1341" t="s">
        <v>1353</v>
      </c>
      <c r="B17" s="1342" t="s">
        <v>1358</v>
      </c>
      <c r="H17" s="1339" t="s">
        <v>738</v>
      </c>
    </row>
    <row r="18" spans="1:8" ht="30">
      <c r="A18" s="1341" t="s">
        <v>1355</v>
      </c>
      <c r="B18" s="1342" t="s">
        <v>1360</v>
      </c>
      <c r="H18" s="1339" t="s">
        <v>753</v>
      </c>
    </row>
    <row r="19" spans="1:8" ht="15">
      <c r="A19" s="1341" t="s">
        <v>1357</v>
      </c>
      <c r="B19" s="1342" t="s">
        <v>1362</v>
      </c>
      <c r="H19" s="1339" t="s">
        <v>739</v>
      </c>
    </row>
    <row r="20" spans="1:8" ht="15">
      <c r="A20" s="1341" t="s">
        <v>1359</v>
      </c>
      <c r="B20" s="1342" t="s">
        <v>1364</v>
      </c>
      <c r="H20" s="1339" t="s">
        <v>740</v>
      </c>
    </row>
    <row r="21" spans="1:8" ht="15">
      <c r="A21" s="1341" t="s">
        <v>1361</v>
      </c>
      <c r="B21" s="1342" t="s">
        <v>1366</v>
      </c>
      <c r="H21" s="1339" t="s">
        <v>741</v>
      </c>
    </row>
    <row r="22" spans="1:8" ht="30">
      <c r="A22" s="1341" t="s">
        <v>1363</v>
      </c>
      <c r="B22" s="1338" t="s">
        <v>2207</v>
      </c>
      <c r="H22" s="1339" t="s">
        <v>754</v>
      </c>
    </row>
    <row r="23" spans="1:8" ht="30">
      <c r="A23" s="1341" t="s">
        <v>1365</v>
      </c>
      <c r="B23" s="1338" t="s">
        <v>2208</v>
      </c>
      <c r="H23" s="1339" t="s">
        <v>742</v>
      </c>
    </row>
    <row r="24" spans="1:8" ht="30">
      <c r="A24" s="1343" t="s">
        <v>1367</v>
      </c>
      <c r="B24" s="1338" t="s">
        <v>2209</v>
      </c>
      <c r="H24" s="1339" t="s">
        <v>743</v>
      </c>
    </row>
    <row r="25" spans="1:8" ht="15">
      <c r="A25" s="1343" t="s">
        <v>1369</v>
      </c>
      <c r="B25" s="1342" t="s">
        <v>1371</v>
      </c>
      <c r="H25" s="1339" t="s">
        <v>761</v>
      </c>
    </row>
    <row r="26" spans="1:8" ht="15">
      <c r="A26" s="1343" t="s">
        <v>1368</v>
      </c>
      <c r="B26" s="1342" t="s">
        <v>1373</v>
      </c>
      <c r="H26" s="1339" t="s">
        <v>744</v>
      </c>
    </row>
    <row r="27" spans="1:8" ht="15">
      <c r="A27" s="1341" t="s">
        <v>1370</v>
      </c>
      <c r="B27" s="1342" t="s">
        <v>1375</v>
      </c>
      <c r="H27" s="1339" t="s">
        <v>745</v>
      </c>
    </row>
    <row r="28" spans="1:8" ht="30">
      <c r="A28" s="1341" t="s">
        <v>1372</v>
      </c>
      <c r="B28" s="1342" t="s">
        <v>1377</v>
      </c>
      <c r="H28" s="1339" t="s">
        <v>746</v>
      </c>
    </row>
    <row r="29" spans="1:8" ht="15">
      <c r="A29" s="1341" t="s">
        <v>1374</v>
      </c>
      <c r="B29" s="1342" t="s">
        <v>1379</v>
      </c>
      <c r="H29" s="1339" t="s">
        <v>755</v>
      </c>
    </row>
    <row r="30" spans="1:8" ht="15">
      <c r="A30" s="1341" t="s">
        <v>1376</v>
      </c>
      <c r="B30" s="1342" t="s">
        <v>1381</v>
      </c>
      <c r="H30" s="1339" t="s">
        <v>756</v>
      </c>
    </row>
    <row r="31" spans="1:8" ht="15">
      <c r="A31" s="1341" t="s">
        <v>1378</v>
      </c>
      <c r="B31" s="1342" t="s">
        <v>1383</v>
      </c>
      <c r="H31" s="1339" t="s">
        <v>747</v>
      </c>
    </row>
    <row r="32" spans="1:8" ht="15">
      <c r="A32" s="1341" t="s">
        <v>1380</v>
      </c>
      <c r="B32" s="1342" t="s">
        <v>1385</v>
      </c>
      <c r="H32" s="1339" t="s">
        <v>748</v>
      </c>
    </row>
    <row r="33" spans="1:8" ht="45">
      <c r="A33" s="1341" t="s">
        <v>1382</v>
      </c>
      <c r="B33" s="1342" t="s">
        <v>1387</v>
      </c>
      <c r="H33" s="1339" t="s">
        <v>749</v>
      </c>
    </row>
    <row r="34" spans="1:8" ht="30">
      <c r="A34" s="1341" t="s">
        <v>1384</v>
      </c>
      <c r="B34" s="1342" t="s">
        <v>1389</v>
      </c>
      <c r="H34" s="1339" t="s">
        <v>750</v>
      </c>
    </row>
    <row r="35" spans="1:8" ht="15">
      <c r="A35" s="1341" t="s">
        <v>1386</v>
      </c>
      <c r="H35" s="1339" t="s">
        <v>757</v>
      </c>
    </row>
    <row r="36" spans="1:8" ht="15">
      <c r="A36" s="1341" t="s">
        <v>1388</v>
      </c>
      <c r="H36" s="1339" t="s">
        <v>758</v>
      </c>
    </row>
    <row r="37" spans="1:8">
      <c r="H37" s="1339" t="s">
        <v>759</v>
      </c>
    </row>
    <row r="38" spans="1:8">
      <c r="H38" s="1339" t="s">
        <v>751</v>
      </c>
    </row>
    <row r="39" spans="1:8">
      <c r="H39" s="1339" t="s">
        <v>760</v>
      </c>
    </row>
    <row r="40" spans="1:8">
      <c r="H40" s="1339" t="s">
        <v>767</v>
      </c>
    </row>
    <row r="41" spans="1:8">
      <c r="H41" s="1339" t="s">
        <v>769</v>
      </c>
    </row>
    <row r="42" spans="1:8">
      <c r="H42" s="1339" t="s">
        <v>772</v>
      </c>
    </row>
    <row r="43" spans="1:8">
      <c r="H43" s="1339" t="s">
        <v>774</v>
      </c>
    </row>
    <row r="44" spans="1:8">
      <c r="H44" s="1339" t="s">
        <v>776</v>
      </c>
    </row>
    <row r="45" spans="1:8">
      <c r="H45" s="1339" t="s">
        <v>778</v>
      </c>
    </row>
    <row r="46" spans="1:8">
      <c r="H46" s="1339" t="s">
        <v>780</v>
      </c>
    </row>
    <row r="47" spans="1:8">
      <c r="H47" s="1339" t="s">
        <v>782</v>
      </c>
    </row>
    <row r="48" spans="1:8">
      <c r="H48" s="1339" t="s">
        <v>784</v>
      </c>
    </row>
    <row r="49" spans="8:8">
      <c r="H49" s="1339" t="s">
        <v>786</v>
      </c>
    </row>
    <row r="50" spans="8:8">
      <c r="H50" s="1339" t="s">
        <v>788</v>
      </c>
    </row>
    <row r="51" spans="8:8">
      <c r="H51" s="1339" t="s">
        <v>790</v>
      </c>
    </row>
    <row r="52" spans="8:8">
      <c r="H52" s="1339" t="s">
        <v>792</v>
      </c>
    </row>
    <row r="53" spans="8:8">
      <c r="H53" s="1339" t="s">
        <v>795</v>
      </c>
    </row>
    <row r="54" spans="8:8">
      <c r="H54" s="1339" t="s">
        <v>797</v>
      </c>
    </row>
    <row r="55" spans="8:8">
      <c r="H55" s="1339" t="s">
        <v>799</v>
      </c>
    </row>
    <row r="56" spans="8:8">
      <c r="H56" s="1339" t="s">
        <v>801</v>
      </c>
    </row>
    <row r="57" spans="8:8">
      <c r="H57" s="1339" t="s">
        <v>803</v>
      </c>
    </row>
    <row r="58" spans="8:8">
      <c r="H58" s="1339" t="s">
        <v>805</v>
      </c>
    </row>
    <row r="59" spans="8:8">
      <c r="H59" s="1339" t="s">
        <v>808</v>
      </c>
    </row>
    <row r="60" spans="8:8">
      <c r="H60" s="1339" t="s">
        <v>810</v>
      </c>
    </row>
    <row r="61" spans="8:8">
      <c r="H61" s="1339" t="s">
        <v>812</v>
      </c>
    </row>
    <row r="62" spans="8:8">
      <c r="H62" s="1339" t="s">
        <v>814</v>
      </c>
    </row>
    <row r="63" spans="8:8" ht="25.5">
      <c r="H63" s="1339" t="s">
        <v>816</v>
      </c>
    </row>
    <row r="64" spans="8:8" ht="25.5">
      <c r="H64" s="1339" t="s">
        <v>818</v>
      </c>
    </row>
    <row r="65" spans="8:8">
      <c r="H65" s="1339" t="s">
        <v>820</v>
      </c>
    </row>
    <row r="66" spans="8:8">
      <c r="H66" s="1339" t="s">
        <v>822</v>
      </c>
    </row>
    <row r="67" spans="8:8">
      <c r="H67" s="1339" t="s">
        <v>824</v>
      </c>
    </row>
    <row r="68" spans="8:8">
      <c r="H68" s="1339" t="s">
        <v>826</v>
      </c>
    </row>
    <row r="69" spans="8:8" ht="25.5">
      <c r="H69" s="1339" t="s">
        <v>828</v>
      </c>
    </row>
    <row r="70" spans="8:8">
      <c r="H70" s="1339" t="s">
        <v>830</v>
      </c>
    </row>
    <row r="71" spans="8:8">
      <c r="H71" s="1339" t="s">
        <v>833</v>
      </c>
    </row>
    <row r="72" spans="8:8">
      <c r="H72" s="1339" t="s">
        <v>835</v>
      </c>
    </row>
    <row r="73" spans="8:8">
      <c r="H73" s="1339" t="s">
        <v>837</v>
      </c>
    </row>
    <row r="74" spans="8:8">
      <c r="H74" s="1339" t="s">
        <v>839</v>
      </c>
    </row>
    <row r="75" spans="8:8">
      <c r="H75" s="1339" t="s">
        <v>841</v>
      </c>
    </row>
    <row r="76" spans="8:8">
      <c r="H76" s="1339" t="s">
        <v>843</v>
      </c>
    </row>
    <row r="77" spans="8:8">
      <c r="H77" s="1339" t="s">
        <v>845</v>
      </c>
    </row>
    <row r="78" spans="8:8">
      <c r="H78" s="1339" t="s">
        <v>847</v>
      </c>
    </row>
    <row r="79" spans="8:8">
      <c r="H79" s="1339" t="s">
        <v>849</v>
      </c>
    </row>
    <row r="80" spans="8:8">
      <c r="H80" s="1339" t="s">
        <v>851</v>
      </c>
    </row>
    <row r="81" spans="8:8">
      <c r="H81" s="1339" t="s">
        <v>853</v>
      </c>
    </row>
    <row r="82" spans="8:8">
      <c r="H82" s="1339" t="s">
        <v>855</v>
      </c>
    </row>
    <row r="83" spans="8:8">
      <c r="H83" s="1339" t="s">
        <v>857</v>
      </c>
    </row>
    <row r="84" spans="8:8">
      <c r="H84" s="1339" t="s">
        <v>859</v>
      </c>
    </row>
    <row r="85" spans="8:8">
      <c r="H85" s="1339" t="s">
        <v>861</v>
      </c>
    </row>
    <row r="86" spans="8:8">
      <c r="H86" s="1339" t="s">
        <v>863</v>
      </c>
    </row>
    <row r="87" spans="8:8" ht="25.5">
      <c r="H87" s="1339" t="s">
        <v>865</v>
      </c>
    </row>
    <row r="88" spans="8:8">
      <c r="H88" s="1339" t="s">
        <v>867</v>
      </c>
    </row>
    <row r="89" spans="8:8">
      <c r="H89" s="1339" t="s">
        <v>869</v>
      </c>
    </row>
    <row r="90" spans="8:8">
      <c r="H90" s="1339" t="s">
        <v>871</v>
      </c>
    </row>
    <row r="91" spans="8:8">
      <c r="H91" s="1339" t="s">
        <v>873</v>
      </c>
    </row>
    <row r="92" spans="8:8">
      <c r="H92" s="1339" t="s">
        <v>875</v>
      </c>
    </row>
    <row r="93" spans="8:8">
      <c r="H93" s="1339" t="s">
        <v>877</v>
      </c>
    </row>
    <row r="94" spans="8:8">
      <c r="H94" s="1339" t="s">
        <v>882</v>
      </c>
    </row>
    <row r="95" spans="8:8">
      <c r="H95" s="1339" t="s">
        <v>884</v>
      </c>
    </row>
    <row r="96" spans="8:8">
      <c r="H96" s="1339" t="s">
        <v>886</v>
      </c>
    </row>
    <row r="97" spans="8:8">
      <c r="H97" s="1339" t="s">
        <v>888</v>
      </c>
    </row>
    <row r="98" spans="8:8">
      <c r="H98" s="1339" t="s">
        <v>762</v>
      </c>
    </row>
    <row r="99" spans="8:8">
      <c r="H99" s="1339" t="s">
        <v>891</v>
      </c>
    </row>
    <row r="100" spans="8:8">
      <c r="H100" s="1339" t="s">
        <v>893</v>
      </c>
    </row>
    <row r="101" spans="8:8">
      <c r="H101" s="1339" t="s">
        <v>895</v>
      </c>
    </row>
    <row r="102" spans="8:8">
      <c r="H102" s="1339" t="s">
        <v>898</v>
      </c>
    </row>
    <row r="103" spans="8:8" ht="25.5">
      <c r="H103" s="1339" t="s">
        <v>900</v>
      </c>
    </row>
    <row r="104" spans="8:8">
      <c r="H104" s="1339" t="s">
        <v>902</v>
      </c>
    </row>
    <row r="105" spans="8:8">
      <c r="H105" s="1339" t="s">
        <v>904</v>
      </c>
    </row>
    <row r="106" spans="8:8">
      <c r="H106" s="1339" t="s">
        <v>908</v>
      </c>
    </row>
    <row r="107" spans="8:8">
      <c r="H107" s="1339" t="s">
        <v>910</v>
      </c>
    </row>
    <row r="108" spans="8:8" ht="25.5">
      <c r="H108" s="1339" t="s">
        <v>912</v>
      </c>
    </row>
    <row r="109" spans="8:8">
      <c r="H109" s="1339" t="s">
        <v>914</v>
      </c>
    </row>
    <row r="110" spans="8:8">
      <c r="H110" s="1339" t="s">
        <v>916</v>
      </c>
    </row>
    <row r="111" spans="8:8">
      <c r="H111" s="1339" t="s">
        <v>918</v>
      </c>
    </row>
    <row r="112" spans="8:8">
      <c r="H112" s="1339" t="s">
        <v>921</v>
      </c>
    </row>
    <row r="113" spans="8:8">
      <c r="H113" s="1339" t="s">
        <v>923</v>
      </c>
    </row>
    <row r="114" spans="8:8">
      <c r="H114" s="1339" t="s">
        <v>926</v>
      </c>
    </row>
    <row r="115" spans="8:8">
      <c r="H115" s="1339" t="s">
        <v>928</v>
      </c>
    </row>
    <row r="116" spans="8:8">
      <c r="H116" s="1339" t="s">
        <v>930</v>
      </c>
    </row>
    <row r="117" spans="8:8">
      <c r="H117" s="1339" t="s">
        <v>932</v>
      </c>
    </row>
    <row r="118" spans="8:8">
      <c r="H118" s="1339" t="s">
        <v>934</v>
      </c>
    </row>
    <row r="119" spans="8:8">
      <c r="H119" s="1339" t="s">
        <v>936</v>
      </c>
    </row>
    <row r="120" spans="8:8">
      <c r="H120" s="1339" t="s">
        <v>938</v>
      </c>
    </row>
    <row r="121" spans="8:8">
      <c r="H121" s="1339" t="s">
        <v>940</v>
      </c>
    </row>
    <row r="122" spans="8:8">
      <c r="H122" s="1339" t="s">
        <v>942</v>
      </c>
    </row>
    <row r="123" spans="8:8">
      <c r="H123" s="1339" t="s">
        <v>944</v>
      </c>
    </row>
    <row r="124" spans="8:8" ht="25.5">
      <c r="H124" s="1339" t="s">
        <v>946</v>
      </c>
    </row>
    <row r="125" spans="8:8" ht="25.5">
      <c r="H125" s="1339" t="s">
        <v>948</v>
      </c>
    </row>
    <row r="126" spans="8:8">
      <c r="H126" s="1339" t="s">
        <v>950</v>
      </c>
    </row>
    <row r="127" spans="8:8">
      <c r="H127" s="1339" t="s">
        <v>952</v>
      </c>
    </row>
    <row r="128" spans="8:8">
      <c r="H128" s="1339" t="s">
        <v>763</v>
      </c>
    </row>
    <row r="129" spans="8:8">
      <c r="H129" s="1339" t="s">
        <v>956</v>
      </c>
    </row>
    <row r="130" spans="8:8">
      <c r="H130" s="1339" t="s">
        <v>958</v>
      </c>
    </row>
    <row r="131" spans="8:8">
      <c r="H131" s="1339" t="s">
        <v>960</v>
      </c>
    </row>
    <row r="132" spans="8:8">
      <c r="H132" s="1339" t="s">
        <v>962</v>
      </c>
    </row>
    <row r="133" spans="8:8">
      <c r="H133" s="1339" t="s">
        <v>965</v>
      </c>
    </row>
    <row r="134" spans="8:8">
      <c r="H134" s="1339" t="s">
        <v>967</v>
      </c>
    </row>
    <row r="135" spans="8:8">
      <c r="H135" s="1339" t="s">
        <v>970</v>
      </c>
    </row>
    <row r="136" spans="8:8">
      <c r="H136" s="1339" t="s">
        <v>973</v>
      </c>
    </row>
    <row r="137" spans="8:8">
      <c r="H137" s="1339" t="s">
        <v>975</v>
      </c>
    </row>
    <row r="138" spans="8:8">
      <c r="H138" s="1339" t="s">
        <v>977</v>
      </c>
    </row>
    <row r="139" spans="8:8">
      <c r="H139" s="1339" t="s">
        <v>979</v>
      </c>
    </row>
    <row r="140" spans="8:8">
      <c r="H140" s="1339" t="s">
        <v>981</v>
      </c>
    </row>
    <row r="141" spans="8:8" ht="25.5">
      <c r="H141" s="1339" t="s">
        <v>983</v>
      </c>
    </row>
    <row r="142" spans="8:8">
      <c r="H142" s="1339" t="s">
        <v>985</v>
      </c>
    </row>
    <row r="143" spans="8:8">
      <c r="H143" s="1339" t="s">
        <v>987</v>
      </c>
    </row>
    <row r="144" spans="8:8">
      <c r="H144" s="1339" t="s">
        <v>989</v>
      </c>
    </row>
    <row r="145" spans="8:8" ht="25.5">
      <c r="H145" s="1339" t="s">
        <v>991</v>
      </c>
    </row>
    <row r="146" spans="8:8">
      <c r="H146" s="1339" t="s">
        <v>994</v>
      </c>
    </row>
    <row r="147" spans="8:8">
      <c r="H147" s="1339" t="s">
        <v>996</v>
      </c>
    </row>
    <row r="148" spans="8:8">
      <c r="H148" s="1339" t="s">
        <v>998</v>
      </c>
    </row>
    <row r="149" spans="8:8">
      <c r="H149" s="1339" t="s">
        <v>1000</v>
      </c>
    </row>
    <row r="150" spans="8:8">
      <c r="H150" s="1339" t="s">
        <v>764</v>
      </c>
    </row>
    <row r="151" spans="8:8">
      <c r="H151" s="1339" t="s">
        <v>1005</v>
      </c>
    </row>
    <row r="152" spans="8:8">
      <c r="H152" s="1339" t="s">
        <v>1008</v>
      </c>
    </row>
    <row r="153" spans="8:8">
      <c r="H153" s="1339" t="s">
        <v>1010</v>
      </c>
    </row>
    <row r="154" spans="8:8">
      <c r="H154" s="1339" t="s">
        <v>1012</v>
      </c>
    </row>
    <row r="155" spans="8:8">
      <c r="H155" s="1339" t="s">
        <v>1014</v>
      </c>
    </row>
    <row r="156" spans="8:8">
      <c r="H156" s="1339" t="s">
        <v>1016</v>
      </c>
    </row>
    <row r="157" spans="8:8">
      <c r="H157" s="1339" t="s">
        <v>1019</v>
      </c>
    </row>
    <row r="158" spans="8:8">
      <c r="H158" s="1339" t="s">
        <v>1021</v>
      </c>
    </row>
    <row r="159" spans="8:8">
      <c r="H159" s="1339" t="s">
        <v>1023</v>
      </c>
    </row>
    <row r="160" spans="8:8">
      <c r="H160" s="1339" t="s">
        <v>1025</v>
      </c>
    </row>
    <row r="161" spans="8:8">
      <c r="H161" s="1339" t="s">
        <v>1027</v>
      </c>
    </row>
    <row r="162" spans="8:8">
      <c r="H162" s="1339" t="s">
        <v>1029</v>
      </c>
    </row>
    <row r="163" spans="8:8" ht="25.5">
      <c r="H163" s="1339" t="s">
        <v>1031</v>
      </c>
    </row>
    <row r="164" spans="8:8">
      <c r="H164" s="1339" t="s">
        <v>1033</v>
      </c>
    </row>
    <row r="165" spans="8:8">
      <c r="H165" s="1339" t="s">
        <v>1035</v>
      </c>
    </row>
    <row r="166" spans="8:8">
      <c r="H166" s="1339" t="s">
        <v>1037</v>
      </c>
    </row>
    <row r="167" spans="8:8">
      <c r="H167" s="1339" t="s">
        <v>1039</v>
      </c>
    </row>
    <row r="168" spans="8:8">
      <c r="H168" s="1339" t="s">
        <v>1041</v>
      </c>
    </row>
    <row r="169" spans="8:8">
      <c r="H169" s="1339" t="s">
        <v>1043</v>
      </c>
    </row>
    <row r="170" spans="8:8">
      <c r="H170" s="1339" t="s">
        <v>1045</v>
      </c>
    </row>
    <row r="171" spans="8:8">
      <c r="H171" s="1339" t="s">
        <v>1047</v>
      </c>
    </row>
    <row r="172" spans="8:8">
      <c r="H172" s="1339" t="s">
        <v>1049</v>
      </c>
    </row>
    <row r="173" spans="8:8">
      <c r="H173" s="1339" t="s">
        <v>1051</v>
      </c>
    </row>
    <row r="174" spans="8:8">
      <c r="H174" s="1339" t="s">
        <v>1053</v>
      </c>
    </row>
    <row r="175" spans="8:8">
      <c r="H175" s="1339" t="s">
        <v>1056</v>
      </c>
    </row>
    <row r="176" spans="8:8">
      <c r="H176" s="1339" t="s">
        <v>1058</v>
      </c>
    </row>
    <row r="177" spans="8:8">
      <c r="H177" s="1339" t="s">
        <v>1060</v>
      </c>
    </row>
    <row r="178" spans="8:8">
      <c r="H178" s="1339" t="s">
        <v>1062</v>
      </c>
    </row>
    <row r="179" spans="8:8">
      <c r="H179" s="1339" t="s">
        <v>1064</v>
      </c>
    </row>
    <row r="180" spans="8:8">
      <c r="H180" s="1339" t="s">
        <v>1066</v>
      </c>
    </row>
    <row r="181" spans="8:8">
      <c r="H181" s="1339" t="s">
        <v>1068</v>
      </c>
    </row>
    <row r="182" spans="8:8">
      <c r="H182" s="1339" t="s">
        <v>1070</v>
      </c>
    </row>
    <row r="183" spans="8:8">
      <c r="H183" s="1339" t="s">
        <v>1073</v>
      </c>
    </row>
    <row r="184" spans="8:8">
      <c r="H184" s="1339" t="s">
        <v>1075</v>
      </c>
    </row>
    <row r="185" spans="8:8">
      <c r="H185" s="1339" t="s">
        <v>1077</v>
      </c>
    </row>
    <row r="186" spans="8:8" ht="25.5">
      <c r="H186" s="1339" t="s">
        <v>1079</v>
      </c>
    </row>
    <row r="187" spans="8:8">
      <c r="H187" s="1339" t="s">
        <v>1081</v>
      </c>
    </row>
    <row r="188" spans="8:8">
      <c r="H188" s="1339" t="s">
        <v>1083</v>
      </c>
    </row>
    <row r="189" spans="8:8">
      <c r="H189" s="1339" t="s">
        <v>1085</v>
      </c>
    </row>
    <row r="190" spans="8:8">
      <c r="H190" s="1339" t="s">
        <v>1087</v>
      </c>
    </row>
    <row r="191" spans="8:8">
      <c r="H191" s="1339" t="s">
        <v>1089</v>
      </c>
    </row>
    <row r="192" spans="8:8">
      <c r="H192" s="1339" t="s">
        <v>1091</v>
      </c>
    </row>
    <row r="193" spans="8:8">
      <c r="H193" s="1339" t="s">
        <v>1095</v>
      </c>
    </row>
    <row r="194" spans="8:8">
      <c r="H194" s="1339" t="s">
        <v>1097</v>
      </c>
    </row>
    <row r="195" spans="8:8">
      <c r="H195" s="1339" t="s">
        <v>1099</v>
      </c>
    </row>
    <row r="196" spans="8:8">
      <c r="H196" s="1339" t="s">
        <v>1103</v>
      </c>
    </row>
    <row r="197" spans="8:8">
      <c r="H197" s="1339" t="s">
        <v>1105</v>
      </c>
    </row>
    <row r="198" spans="8:8" ht="25.5">
      <c r="H198" s="1339" t="s">
        <v>1107</v>
      </c>
    </row>
    <row r="199" spans="8:8">
      <c r="H199" s="1339" t="s">
        <v>1109</v>
      </c>
    </row>
    <row r="200" spans="8:8">
      <c r="H200" s="1339" t="s">
        <v>1111</v>
      </c>
    </row>
    <row r="201" spans="8:8">
      <c r="H201" s="1339" t="s">
        <v>1113</v>
      </c>
    </row>
    <row r="202" spans="8:8">
      <c r="H202" s="1339" t="s">
        <v>1115</v>
      </c>
    </row>
    <row r="203" spans="8:8" ht="25.5">
      <c r="H203" s="1339" t="s">
        <v>1117</v>
      </c>
    </row>
    <row r="204" spans="8:8">
      <c r="H204" s="1339" t="s">
        <v>1119</v>
      </c>
    </row>
    <row r="205" spans="8:8">
      <c r="H205" s="1339" t="s">
        <v>1121</v>
      </c>
    </row>
    <row r="206" spans="8:8">
      <c r="H206" s="1339" t="s">
        <v>1123</v>
      </c>
    </row>
    <row r="207" spans="8:8">
      <c r="H207" s="1339" t="s">
        <v>1125</v>
      </c>
    </row>
    <row r="208" spans="8:8">
      <c r="H208" s="1339" t="s">
        <v>1127</v>
      </c>
    </row>
    <row r="209" spans="8:8">
      <c r="H209" s="1339" t="s">
        <v>1130</v>
      </c>
    </row>
    <row r="210" spans="8:8">
      <c r="H210" s="1339" t="s">
        <v>1132</v>
      </c>
    </row>
    <row r="211" spans="8:8">
      <c r="H211" s="1339" t="s">
        <v>1134</v>
      </c>
    </row>
    <row r="212" spans="8:8">
      <c r="H212" s="1339" t="s">
        <v>1136</v>
      </c>
    </row>
    <row r="213" spans="8:8">
      <c r="H213" s="1339" t="s">
        <v>1140</v>
      </c>
    </row>
    <row r="214" spans="8:8">
      <c r="H214" s="1339" t="s">
        <v>1142</v>
      </c>
    </row>
    <row r="215" spans="8:8">
      <c r="H215" s="1339" t="s">
        <v>1144</v>
      </c>
    </row>
    <row r="216" spans="8:8" ht="25.5">
      <c r="H216" s="1339" t="s">
        <v>1146</v>
      </c>
    </row>
    <row r="217" spans="8:8">
      <c r="H217" s="1339" t="s">
        <v>1148</v>
      </c>
    </row>
    <row r="218" spans="8:8">
      <c r="H218" s="1339" t="s">
        <v>1151</v>
      </c>
    </row>
    <row r="219" spans="8:8">
      <c r="H219" s="1339" t="s">
        <v>1153</v>
      </c>
    </row>
    <row r="220" spans="8:8">
      <c r="H220" s="1339" t="s">
        <v>1155</v>
      </c>
    </row>
    <row r="221" spans="8:8">
      <c r="H221" s="1339" t="s">
        <v>1157</v>
      </c>
    </row>
    <row r="222" spans="8:8">
      <c r="H222" s="1339" t="s">
        <v>1159</v>
      </c>
    </row>
    <row r="223" spans="8:8">
      <c r="H223" s="1339" t="s">
        <v>1163</v>
      </c>
    </row>
    <row r="224" spans="8:8">
      <c r="H224" s="1339" t="s">
        <v>1165</v>
      </c>
    </row>
    <row r="225" spans="8:8">
      <c r="H225" s="1339" t="s">
        <v>1167</v>
      </c>
    </row>
    <row r="226" spans="8:8" ht="25.5">
      <c r="H226" s="1339" t="s">
        <v>1169</v>
      </c>
    </row>
    <row r="227" spans="8:8">
      <c r="H227" s="1339" t="s">
        <v>1171</v>
      </c>
    </row>
    <row r="228" spans="8:8">
      <c r="H228" s="1339" t="s">
        <v>1173</v>
      </c>
    </row>
    <row r="229" spans="8:8">
      <c r="H229" s="1339" t="s">
        <v>1175</v>
      </c>
    </row>
    <row r="230" spans="8:8">
      <c r="H230" s="1339" t="s">
        <v>1177</v>
      </c>
    </row>
    <row r="231" spans="8:8">
      <c r="H231" s="1339" t="s">
        <v>1179</v>
      </c>
    </row>
    <row r="232" spans="8:8">
      <c r="H232" s="1339" t="s">
        <v>1181</v>
      </c>
    </row>
    <row r="233" spans="8:8">
      <c r="H233" s="1339" t="s">
        <v>1183</v>
      </c>
    </row>
    <row r="234" spans="8:8">
      <c r="H234" s="1339" t="s">
        <v>1186</v>
      </c>
    </row>
    <row r="235" spans="8:8">
      <c r="H235" s="1339" t="s">
        <v>1188</v>
      </c>
    </row>
    <row r="236" spans="8:8">
      <c r="H236" s="1339" t="s">
        <v>1190</v>
      </c>
    </row>
    <row r="237" spans="8:8">
      <c r="H237" s="1339" t="s">
        <v>1192</v>
      </c>
    </row>
    <row r="238" spans="8:8">
      <c r="H238" s="1339" t="s">
        <v>1195</v>
      </c>
    </row>
    <row r="239" spans="8:8" ht="25.5">
      <c r="H239" s="1339" t="s">
        <v>1199</v>
      </c>
    </row>
    <row r="240" spans="8:8">
      <c r="H240" s="1339" t="s">
        <v>1201</v>
      </c>
    </row>
    <row r="241" spans="8:8">
      <c r="H241" s="1339" t="s">
        <v>1203</v>
      </c>
    </row>
    <row r="242" spans="8:8">
      <c r="H242" s="1339" t="s">
        <v>1205</v>
      </c>
    </row>
    <row r="243" spans="8:8" ht="25.5">
      <c r="H243" s="1339" t="s">
        <v>1207</v>
      </c>
    </row>
    <row r="244" spans="8:8">
      <c r="H244" s="1339" t="s">
        <v>1209</v>
      </c>
    </row>
    <row r="245" spans="8:8">
      <c r="H245" s="1339" t="s">
        <v>1211</v>
      </c>
    </row>
    <row r="246" spans="8:8">
      <c r="H246" s="1339" t="s">
        <v>1213</v>
      </c>
    </row>
    <row r="247" spans="8:8">
      <c r="H247" s="1339" t="s">
        <v>1215</v>
      </c>
    </row>
    <row r="248" spans="8:8">
      <c r="H248" s="1339" t="s">
        <v>1217</v>
      </c>
    </row>
    <row r="249" spans="8:8">
      <c r="H249" s="1339" t="s">
        <v>1219</v>
      </c>
    </row>
    <row r="250" spans="8:8">
      <c r="H250" s="1339" t="s">
        <v>1221</v>
      </c>
    </row>
    <row r="251" spans="8:8">
      <c r="H251" s="1339" t="s">
        <v>1223</v>
      </c>
    </row>
    <row r="252" spans="8:8">
      <c r="H252" s="1339" t="s">
        <v>1225</v>
      </c>
    </row>
  </sheetData>
  <sheetProtection password="C2F4" sheet="1" objects="1" scenarios="1"/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0" tint="-0.499984740745262"/>
  </sheetPr>
  <dimension ref="A1:O46"/>
  <sheetViews>
    <sheetView topLeftCell="B6" zoomScaleNormal="100" zoomScaleSheetLayoutView="80" workbookViewId="0">
      <selection activeCell="B6" sqref="B6"/>
    </sheetView>
  </sheetViews>
  <sheetFormatPr defaultColWidth="9.140625" defaultRowHeight="12.75"/>
  <cols>
    <col min="1" max="1" width="13.5703125" style="1156" hidden="1" customWidth="1"/>
    <col min="2" max="2" width="4.28515625" style="1233" customWidth="1"/>
    <col min="3" max="3" width="46.7109375" style="1233" customWidth="1"/>
    <col min="4" max="4" width="23.85546875" style="1233" customWidth="1"/>
    <col min="5" max="5" width="14.42578125" style="1233" customWidth="1"/>
    <col min="6" max="6" width="14.28515625" style="1233" customWidth="1"/>
    <col min="7" max="7" width="14.5703125" style="1233" customWidth="1"/>
    <col min="8" max="8" width="14.140625" style="1233" customWidth="1"/>
    <col min="9" max="12" width="12.42578125" style="1233" bestFit="1" customWidth="1"/>
    <col min="13" max="13" width="24.140625" style="1233" bestFit="1" customWidth="1"/>
    <col min="14" max="16384" width="9.140625" style="1233"/>
  </cols>
  <sheetData>
    <row r="1" spans="1:15" s="1097" customFormat="1" ht="18" hidden="1" customHeight="1">
      <c r="A1" s="1096" t="s">
        <v>1533</v>
      </c>
      <c r="B1" s="1118">
        <v>2</v>
      </c>
      <c r="C1" s="1118">
        <v>1</v>
      </c>
      <c r="D1" s="1119">
        <v>14</v>
      </c>
      <c r="E1" s="1182">
        <v>5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15" s="1097" customFormat="1" ht="18" hidden="1" customHeight="1">
      <c r="A2" s="1096" t="str">
        <f>Index!$A$2</f>
        <v>V20181222</v>
      </c>
      <c r="B2" s="1098"/>
      <c r="C2" s="1099"/>
      <c r="D2" s="1100"/>
      <c r="E2" s="1100" t="str">
        <f>$A$1&amp;"_"&amp;E13</f>
        <v>F-41.01_010</v>
      </c>
      <c r="F2" s="1100" t="str">
        <f>$A$1&amp;"_"&amp;F13</f>
        <v>F-41.01_020</v>
      </c>
      <c r="G2" s="1100" t="str">
        <f>$A$1&amp;"_"&amp;G13</f>
        <v>F-41.01_030</v>
      </c>
      <c r="H2" s="1100" t="str">
        <f>$A$1&amp;"_"&amp;H13</f>
        <v>F-41.01_040</v>
      </c>
      <c r="I2" s="1100"/>
      <c r="J2" s="1100"/>
      <c r="K2" s="1100"/>
      <c r="L2" s="1100"/>
      <c r="M2" s="1100"/>
      <c r="N2" s="1101"/>
    </row>
    <row r="3" spans="1:15" s="1097" customFormat="1" ht="18" hidden="1" customHeight="1">
      <c r="A3" s="1096" t="str">
        <f>"R:A1:P"&amp;ROW(A86)+1</f>
        <v>R:A1:P87</v>
      </c>
      <c r="B3" s="1102"/>
      <c r="C3" s="1103"/>
      <c r="D3" s="1104"/>
      <c r="E3" s="1105"/>
      <c r="F3" s="1106"/>
      <c r="G3" s="1107"/>
      <c r="H3" s="1107"/>
      <c r="I3" s="1107"/>
      <c r="J3" s="1107"/>
      <c r="K3" s="1107"/>
    </row>
    <row r="4" spans="1:15" s="1097" customFormat="1" ht="18" hidden="1" customHeight="1">
      <c r="A4" s="1096"/>
      <c r="B4" s="1102"/>
      <c r="C4" s="1103"/>
      <c r="D4" s="1108"/>
      <c r="E4" s="1109"/>
      <c r="F4" s="1110"/>
      <c r="G4" s="1111">
        <f>N5</f>
        <v>0</v>
      </c>
      <c r="H4" s="1107"/>
      <c r="I4" s="1107"/>
      <c r="J4" s="1107"/>
      <c r="K4" s="1107"/>
    </row>
    <row r="5" spans="1:15" s="1097" customFormat="1" ht="18" hidden="1" customHeight="1">
      <c r="A5" s="1096"/>
      <c r="B5" s="1102"/>
      <c r="C5" s="1103"/>
      <c r="D5" s="1112"/>
      <c r="E5" s="1113"/>
      <c r="F5" s="1114"/>
      <c r="N5" s="1097">
        <f>COUNTIF(I14:M21,"&lt;&gt;0")-COUNTBLANK(I14:M21)</f>
        <v>0</v>
      </c>
    </row>
    <row r="6" spans="1:15" s="1116" customFormat="1">
      <c r="A6" s="1100" t="s">
        <v>718</v>
      </c>
      <c r="B6" s="1115"/>
    </row>
    <row r="7" spans="1:15">
      <c r="A7" s="1100" t="s">
        <v>718</v>
      </c>
      <c r="B7" s="272" t="s">
        <v>1390</v>
      </c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5">
      <c r="A8" s="1100" t="s">
        <v>718</v>
      </c>
      <c r="B8" s="60"/>
      <c r="C8" s="62"/>
      <c r="D8" s="62"/>
      <c r="E8" s="62"/>
      <c r="F8" s="62"/>
      <c r="G8" s="62"/>
      <c r="H8" s="62"/>
      <c r="I8" s="62"/>
      <c r="J8" s="62"/>
      <c r="K8" s="62"/>
      <c r="L8" s="62"/>
    </row>
    <row r="9" spans="1:15">
      <c r="A9" s="1100" t="s">
        <v>718</v>
      </c>
      <c r="B9" s="1344" t="s">
        <v>1391</v>
      </c>
      <c r="C9" s="62"/>
      <c r="D9" s="587"/>
      <c r="E9" s="1345"/>
      <c r="F9" s="1345"/>
      <c r="G9" s="1345"/>
      <c r="H9" s="1345"/>
      <c r="I9" s="1345"/>
      <c r="J9" s="1345"/>
      <c r="K9" s="1345"/>
      <c r="L9" s="62"/>
    </row>
    <row r="10" spans="1:15">
      <c r="A10" s="1100" t="s">
        <v>718</v>
      </c>
      <c r="B10" s="62"/>
      <c r="C10" s="297"/>
      <c r="D10" s="62"/>
      <c r="E10" s="1345"/>
      <c r="F10" s="1345"/>
      <c r="G10" s="1345"/>
      <c r="H10" s="1345"/>
      <c r="I10" s="1345"/>
      <c r="J10" s="1345"/>
      <c r="K10" s="1345"/>
      <c r="L10" s="62"/>
    </row>
    <row r="11" spans="1:15" ht="22.5" customHeight="1">
      <c r="A11" s="1100" t="s">
        <v>718</v>
      </c>
      <c r="B11" s="402"/>
      <c r="C11" s="483"/>
      <c r="D11" s="1992" t="s">
        <v>1577</v>
      </c>
      <c r="E11" s="1981" t="s">
        <v>1578</v>
      </c>
      <c r="F11" s="1984" t="s">
        <v>1579</v>
      </c>
      <c r="G11" s="2132"/>
      <c r="H11" s="2133"/>
      <c r="I11" s="112"/>
      <c r="J11" s="112"/>
      <c r="K11" s="112"/>
      <c r="L11" s="112"/>
    </row>
    <row r="12" spans="1:15" ht="21">
      <c r="A12" s="1100" t="s">
        <v>718</v>
      </c>
      <c r="B12" s="493"/>
      <c r="C12" s="563"/>
      <c r="D12" s="1994"/>
      <c r="E12" s="1983"/>
      <c r="F12" s="613" t="s">
        <v>1392</v>
      </c>
      <c r="G12" s="613" t="s">
        <v>1393</v>
      </c>
      <c r="H12" s="613" t="s">
        <v>1394</v>
      </c>
      <c r="I12" s="112"/>
      <c r="J12" s="112"/>
      <c r="K12" s="112"/>
      <c r="L12" s="112"/>
    </row>
    <row r="13" spans="1:15">
      <c r="B13" s="405"/>
      <c r="C13" s="1346" t="s">
        <v>170</v>
      </c>
      <c r="D13" s="1347"/>
      <c r="E13" s="583" t="s">
        <v>292</v>
      </c>
      <c r="F13" s="583" t="s">
        <v>293</v>
      </c>
      <c r="G13" s="583" t="s">
        <v>294</v>
      </c>
      <c r="H13" s="583" t="s">
        <v>295</v>
      </c>
      <c r="I13" s="112"/>
      <c r="J13" s="112"/>
      <c r="K13" s="112"/>
      <c r="L13" s="112"/>
    </row>
    <row r="14" spans="1:15">
      <c r="A14" s="1156" t="str">
        <f t="shared" ref="A14:A21" si="0">$A$1&amp;"_"&amp;B14</f>
        <v>F-41.01_015</v>
      </c>
      <c r="B14" s="413" t="s">
        <v>1571</v>
      </c>
      <c r="C14" s="192" t="s">
        <v>1572</v>
      </c>
      <c r="D14" s="115" t="s">
        <v>1573</v>
      </c>
      <c r="E14" s="1897"/>
      <c r="F14" s="1897"/>
      <c r="G14" s="1897"/>
      <c r="H14" s="1897"/>
      <c r="I14" s="1630">
        <f>IF($E$14&gt;=0,0,"c10&gt;=0")</f>
        <v>0</v>
      </c>
      <c r="J14" s="1630">
        <f>IF($F$14&gt;=0,0,"c20&gt;=0")</f>
        <v>0</v>
      </c>
      <c r="K14" s="1630">
        <f>IF($G$14&gt;=0,0,"c30&gt;=0")</f>
        <v>0</v>
      </c>
      <c r="L14" s="1630">
        <f>IF($H$14&gt;=0,0,"c40&gt;=0")</f>
        <v>0</v>
      </c>
      <c r="M14" s="675">
        <f>IF($E$14=SUM($F$14:$H$14),0,"r40(c10=sum c20-c40)")</f>
        <v>0</v>
      </c>
    </row>
    <row r="15" spans="1:15">
      <c r="A15" s="1156" t="str">
        <f t="shared" si="0"/>
        <v>F-41.01_016</v>
      </c>
      <c r="B15" s="414" t="s">
        <v>1574</v>
      </c>
      <c r="C15" s="122" t="s">
        <v>55</v>
      </c>
      <c r="D15" s="14" t="s">
        <v>595</v>
      </c>
      <c r="E15" s="1898"/>
      <c r="F15" s="1898"/>
      <c r="G15" s="1899"/>
      <c r="H15" s="1899"/>
      <c r="I15" s="1630">
        <f>IF($E$15&gt;=0,0,"c10&gt;=0")</f>
        <v>0</v>
      </c>
      <c r="J15" s="1630">
        <f>IF($F$15&gt;=0,0,"c20&gt;=0")</f>
        <v>0</v>
      </c>
      <c r="K15" s="1630">
        <f>IF($G$15&gt;=0,0,"c30&gt;=0")</f>
        <v>0</v>
      </c>
      <c r="L15" s="1630">
        <f>IF($H$15&gt;=0,0,"c40&gt;=0")</f>
        <v>0</v>
      </c>
    </row>
    <row r="16" spans="1:15">
      <c r="A16" s="1156" t="str">
        <f t="shared" si="0"/>
        <v>F-41.01_017</v>
      </c>
      <c r="B16" s="414" t="s">
        <v>1575</v>
      </c>
      <c r="C16" s="122" t="s">
        <v>61</v>
      </c>
      <c r="D16" s="14" t="s">
        <v>1576</v>
      </c>
      <c r="E16" s="1898"/>
      <c r="F16" s="1898"/>
      <c r="G16" s="1899"/>
      <c r="H16" s="1899"/>
      <c r="I16" s="1630">
        <f>IF($E$16&gt;=0,0,"c10&gt;=0")</f>
        <v>0</v>
      </c>
      <c r="J16" s="1630">
        <f>IF($F$16&gt;=0,0,"c20&gt;=0")</f>
        <v>0</v>
      </c>
      <c r="K16" s="1630">
        <f>IF($G$16&gt;=0,0,"c30&gt;=0")</f>
        <v>0</v>
      </c>
      <c r="L16" s="1630">
        <f>IF($H$16&gt;=0,0,"c40&gt;=0")</f>
        <v>0</v>
      </c>
    </row>
    <row r="17" spans="1:15">
      <c r="A17" s="1100" t="s">
        <v>718</v>
      </c>
      <c r="B17" s="1348"/>
      <c r="C17" s="1349" t="s">
        <v>172</v>
      </c>
      <c r="D17" s="1350"/>
      <c r="E17" s="1351"/>
      <c r="F17" s="1351"/>
      <c r="G17" s="1351"/>
      <c r="H17" s="1351"/>
      <c r="I17" s="675"/>
      <c r="J17" s="675"/>
      <c r="K17" s="675"/>
      <c r="L17" s="675"/>
    </row>
    <row r="18" spans="1:15">
      <c r="A18" s="1156" t="str">
        <f t="shared" si="0"/>
        <v>F-41.01_070</v>
      </c>
      <c r="B18" s="430" t="s">
        <v>298</v>
      </c>
      <c r="C18" s="156" t="s">
        <v>4</v>
      </c>
      <c r="D18" s="160" t="s">
        <v>1567</v>
      </c>
      <c r="E18" s="1869"/>
      <c r="F18" s="1869"/>
      <c r="G18" s="1869"/>
      <c r="H18" s="1869"/>
      <c r="I18" s="675">
        <f>IF($E$18&gt;=0,0,"c10&gt;=0")</f>
        <v>0</v>
      </c>
      <c r="J18" s="675">
        <f>IF($F$18&gt;=0,0,"c20&gt;=0")</f>
        <v>0</v>
      </c>
      <c r="K18" s="675">
        <f>IF($G$18&gt;=0,0,"c30&gt;=0")</f>
        <v>0</v>
      </c>
      <c r="L18" s="675">
        <f>IF($H$18&gt;=0,0,"c40&gt;=0")</f>
        <v>0</v>
      </c>
      <c r="M18" s="675">
        <f>IF($E$18=SUM($F$18:$H$18),0,"r70(c10=sum c20-c40)")</f>
        <v>0</v>
      </c>
    </row>
    <row r="19" spans="1:15" ht="21">
      <c r="A19" s="1156" t="str">
        <f t="shared" si="0"/>
        <v>F-41.01_080</v>
      </c>
      <c r="B19" s="431" t="s">
        <v>299</v>
      </c>
      <c r="C19" s="122" t="s">
        <v>15</v>
      </c>
      <c r="D19" s="160" t="s">
        <v>1568</v>
      </c>
      <c r="E19" s="1898"/>
      <c r="F19" s="1898"/>
      <c r="G19" s="1899"/>
      <c r="H19" s="1899"/>
      <c r="I19" s="675">
        <f>IF($E$19&gt;=0,0,"c10&gt;=0")</f>
        <v>0</v>
      </c>
      <c r="J19" s="675">
        <f>IF($F$19&gt;=0,0,"c20&gt;=0")</f>
        <v>0</v>
      </c>
      <c r="K19" s="675">
        <f>IF($G$19&gt;=0,0,"c30&gt;=0")</f>
        <v>0</v>
      </c>
      <c r="L19" s="675">
        <f>IF($H$19&gt;=0,0,"c40&gt;=0")</f>
        <v>0</v>
      </c>
    </row>
    <row r="20" spans="1:15">
      <c r="A20" s="1156" t="str">
        <f t="shared" si="0"/>
        <v>F-41.01_090</v>
      </c>
      <c r="B20" s="431" t="s">
        <v>300</v>
      </c>
      <c r="C20" s="122" t="s">
        <v>32</v>
      </c>
      <c r="D20" s="44" t="s">
        <v>1569</v>
      </c>
      <c r="E20" s="1898"/>
      <c r="F20" s="1898"/>
      <c r="G20" s="1899"/>
      <c r="H20" s="1899"/>
      <c r="I20" s="675">
        <f>IF($E$20&gt;=0,0,"c10&gt;=0")</f>
        <v>0</v>
      </c>
      <c r="J20" s="675">
        <f>IF($F$20&gt;=0,0,"c20&gt;=0")</f>
        <v>0</v>
      </c>
      <c r="K20" s="675">
        <f>IF($G$20&gt;=0,0,"c30&gt;=0")</f>
        <v>0</v>
      </c>
      <c r="L20" s="675">
        <f>IF($H$20&gt;=0,0,"c40&gt;=0")</f>
        <v>0</v>
      </c>
    </row>
    <row r="21" spans="1:15">
      <c r="A21" s="1156" t="str">
        <f t="shared" si="0"/>
        <v>F-41.01_100</v>
      </c>
      <c r="B21" s="482" t="s">
        <v>301</v>
      </c>
      <c r="C21" s="1352" t="s">
        <v>48</v>
      </c>
      <c r="D21" s="1499" t="s">
        <v>1570</v>
      </c>
      <c r="E21" s="1900"/>
      <c r="F21" s="1900"/>
      <c r="G21" s="1901"/>
      <c r="H21" s="1901"/>
      <c r="I21" s="675">
        <f>IF($E$21&gt;=0,0,"c10&gt;=0")</f>
        <v>0</v>
      </c>
      <c r="J21" s="675">
        <f>IF($F$21&gt;=0,0,"c20&gt;=0")</f>
        <v>0</v>
      </c>
      <c r="K21" s="675">
        <f>IF($G$21&gt;=0,0,"c30&gt;=0")</f>
        <v>0</v>
      </c>
      <c r="L21" s="675">
        <f>IF($H$21&gt;=0,0,"c40&gt;=0")</f>
        <v>0</v>
      </c>
    </row>
    <row r="22" spans="1:15">
      <c r="A22" s="1100" t="s">
        <v>718</v>
      </c>
      <c r="B22" s="1353"/>
      <c r="C22" s="1354"/>
      <c r="D22" s="298"/>
      <c r="E22" s="62"/>
      <c r="F22" s="62"/>
      <c r="G22" s="62"/>
      <c r="H22" s="1355"/>
      <c r="I22" s="91"/>
      <c r="J22" s="91"/>
      <c r="K22" s="91"/>
      <c r="L22" s="91"/>
    </row>
    <row r="23" spans="1:15">
      <c r="A23" s="1156" t="s">
        <v>724</v>
      </c>
      <c r="B23" s="62"/>
      <c r="C23" s="62"/>
      <c r="D23" s="62"/>
      <c r="E23" s="62"/>
      <c r="F23" s="62"/>
      <c r="G23" s="62"/>
      <c r="H23" s="62"/>
      <c r="I23" s="112"/>
      <c r="J23" s="62"/>
      <c r="K23" s="62"/>
      <c r="L23" s="62"/>
    </row>
    <row r="24" spans="1:15" s="1097" customFormat="1" ht="18" hidden="1" customHeight="1">
      <c r="A24" s="1096" t="s">
        <v>1534</v>
      </c>
      <c r="B24" s="1118">
        <v>2</v>
      </c>
      <c r="C24" s="1118">
        <v>1</v>
      </c>
      <c r="D24" s="1119">
        <v>14</v>
      </c>
      <c r="E24" s="1182">
        <v>5</v>
      </c>
      <c r="F24" s="1120">
        <v>3</v>
      </c>
      <c r="G24" s="1121">
        <v>4</v>
      </c>
      <c r="H24" s="1122">
        <v>4</v>
      </c>
      <c r="I24" s="1122">
        <v>4</v>
      </c>
      <c r="J24" s="1123">
        <v>4</v>
      </c>
      <c r="K24" s="1123">
        <v>5</v>
      </c>
      <c r="L24" s="1124">
        <v>4</v>
      </c>
      <c r="M24" s="1124">
        <v>6</v>
      </c>
      <c r="N24" s="1125">
        <v>4</v>
      </c>
      <c r="O24" s="1125">
        <v>7</v>
      </c>
    </row>
    <row r="25" spans="1:15" s="1097" customFormat="1" ht="18" hidden="1" customHeight="1">
      <c r="A25" s="1096" t="str">
        <f>Index!$A$2</f>
        <v>V20181222</v>
      </c>
      <c r="B25" s="1098"/>
      <c r="C25" s="1099"/>
      <c r="D25" s="1100"/>
      <c r="E25" s="1100" t="str">
        <f>$A$24&amp;"_"&amp;E36</f>
        <v>F-41.02_010</v>
      </c>
      <c r="F25" s="1100" t="str">
        <f>$A$24&amp;"_"&amp;F36</f>
        <v>F-41.02_020</v>
      </c>
      <c r="G25" s="1100" t="str">
        <f>$A$24&amp;"_"&amp;G36</f>
        <v>F-41.02_030</v>
      </c>
      <c r="H25" s="1100"/>
      <c r="I25" s="1100"/>
      <c r="J25" s="1100"/>
      <c r="K25" s="1100"/>
      <c r="L25" s="1100"/>
      <c r="M25" s="1100"/>
      <c r="N25" s="1101"/>
    </row>
    <row r="26" spans="1:15" s="1097" customFormat="1" ht="18" hidden="1" customHeight="1">
      <c r="A26" s="1096"/>
      <c r="B26" s="1102"/>
      <c r="C26" s="1103"/>
      <c r="D26" s="1104"/>
      <c r="E26" s="1105"/>
      <c r="F26" s="1106"/>
      <c r="G26" s="1107"/>
      <c r="H26" s="1107"/>
      <c r="I26" s="1107"/>
      <c r="J26" s="1107"/>
      <c r="K26" s="1107"/>
    </row>
    <row r="27" spans="1:15" s="1097" customFormat="1" ht="18" hidden="1" customHeight="1">
      <c r="A27" s="1156"/>
      <c r="B27" s="1102"/>
      <c r="C27" s="1103"/>
      <c r="D27" s="1108"/>
      <c r="E27" s="1109"/>
      <c r="F27" s="1110"/>
      <c r="G27" s="1111">
        <f>N28</f>
        <v>0</v>
      </c>
      <c r="H27" s="1107"/>
      <c r="I27" s="1107"/>
      <c r="J27" s="1107"/>
      <c r="K27" s="1107"/>
    </row>
    <row r="28" spans="1:15" s="1097" customFormat="1" ht="18" hidden="1" customHeight="1">
      <c r="A28" s="1156"/>
      <c r="B28" s="1102"/>
      <c r="C28" s="1103"/>
      <c r="D28" s="1112"/>
      <c r="E28" s="1113"/>
      <c r="F28" s="1114"/>
      <c r="N28" s="1097">
        <f>COUNTIF(I37:K44,"&lt;&gt;0")-COUNTBLANK(I37:K44)</f>
        <v>0</v>
      </c>
    </row>
    <row r="29" spans="1:15" s="1116" customFormat="1">
      <c r="A29" s="1156"/>
      <c r="B29" s="1115"/>
    </row>
    <row r="30" spans="1:15">
      <c r="A30" s="1100" t="s">
        <v>718</v>
      </c>
      <c r="B30" s="63" t="s">
        <v>1395</v>
      </c>
      <c r="C30" s="62"/>
      <c r="D30" s="62"/>
      <c r="E30" s="62"/>
      <c r="F30" s="62"/>
      <c r="G30" s="62"/>
      <c r="H30" s="62"/>
      <c r="I30" s="112"/>
      <c r="J30" s="62"/>
      <c r="K30" s="62"/>
      <c r="L30" s="62"/>
    </row>
    <row r="31" spans="1:15">
      <c r="A31" s="1100" t="s">
        <v>718</v>
      </c>
      <c r="B31" s="63"/>
      <c r="C31" s="62"/>
      <c r="D31" s="62"/>
      <c r="E31" s="62"/>
      <c r="F31" s="62"/>
      <c r="G31" s="62"/>
      <c r="H31" s="62"/>
      <c r="I31" s="112"/>
      <c r="J31" s="62"/>
      <c r="K31" s="62"/>
      <c r="L31" s="62"/>
    </row>
    <row r="32" spans="1:15" ht="24.75" customHeight="1">
      <c r="A32" s="1100" t="s">
        <v>718</v>
      </c>
      <c r="B32" s="402"/>
      <c r="C32" s="1356"/>
      <c r="D32" s="1279"/>
      <c r="E32" s="1978" t="s">
        <v>1559</v>
      </c>
      <c r="F32" s="1979"/>
      <c r="G32" s="1979"/>
      <c r="H32" s="1980"/>
      <c r="I32" s="62"/>
      <c r="J32" s="112"/>
      <c r="K32" s="62"/>
      <c r="L32" s="62"/>
      <c r="M32" s="62"/>
    </row>
    <row r="33" spans="1:13" ht="21" customHeight="1">
      <c r="A33" s="1100" t="s">
        <v>718</v>
      </c>
      <c r="B33" s="1357"/>
      <c r="C33" s="1982"/>
      <c r="D33" s="1993" t="s">
        <v>551</v>
      </c>
      <c r="E33" s="1981" t="s">
        <v>1396</v>
      </c>
      <c r="F33" s="1981" t="s">
        <v>1582</v>
      </c>
      <c r="G33" s="1981" t="s">
        <v>165</v>
      </c>
      <c r="H33" s="1981" t="s">
        <v>1583</v>
      </c>
      <c r="I33" s="62"/>
      <c r="J33" s="62"/>
      <c r="K33" s="62"/>
      <c r="L33" s="62"/>
      <c r="M33" s="62"/>
    </row>
    <row r="34" spans="1:13">
      <c r="A34" s="1100" t="s">
        <v>718</v>
      </c>
      <c r="B34" s="1357"/>
      <c r="C34" s="2134"/>
      <c r="D34" s="1993"/>
      <c r="E34" s="1983"/>
      <c r="F34" s="1983"/>
      <c r="G34" s="1983"/>
      <c r="H34" s="1983"/>
      <c r="I34" s="62"/>
      <c r="J34" s="62"/>
      <c r="K34" s="62"/>
      <c r="L34" s="62"/>
      <c r="M34" s="62"/>
    </row>
    <row r="35" spans="1:13" ht="42">
      <c r="A35" s="1100" t="s">
        <v>718</v>
      </c>
      <c r="B35" s="1357"/>
      <c r="C35" s="496"/>
      <c r="D35" s="391"/>
      <c r="E35" s="1359" t="s">
        <v>1581</v>
      </c>
      <c r="F35" s="494" t="s">
        <v>1585</v>
      </c>
      <c r="G35" s="494" t="s">
        <v>1586</v>
      </c>
      <c r="H35" s="494" t="s">
        <v>1584</v>
      </c>
      <c r="I35" s="62"/>
      <c r="J35" s="62"/>
      <c r="K35" s="62"/>
      <c r="L35" s="62"/>
      <c r="M35" s="62"/>
    </row>
    <row r="36" spans="1:13">
      <c r="A36" s="1100" t="s">
        <v>718</v>
      </c>
      <c r="B36" s="1358"/>
      <c r="C36" s="1360" t="s">
        <v>170</v>
      </c>
      <c r="D36" s="1347"/>
      <c r="E36" s="583" t="s">
        <v>292</v>
      </c>
      <c r="F36" s="583" t="s">
        <v>293</v>
      </c>
      <c r="G36" s="583" t="s">
        <v>294</v>
      </c>
      <c r="H36" s="583" t="s">
        <v>295</v>
      </c>
      <c r="I36" s="1361"/>
      <c r="J36" s="62"/>
      <c r="K36" s="62"/>
      <c r="L36" s="62"/>
      <c r="M36" s="62"/>
    </row>
    <row r="37" spans="1:13" ht="21">
      <c r="A37" s="1156" t="str">
        <f>$A$24&amp;"_"&amp;B37</f>
        <v>F-41.02_010</v>
      </c>
      <c r="B37" s="523" t="s">
        <v>292</v>
      </c>
      <c r="C37" s="1362" t="s">
        <v>62</v>
      </c>
      <c r="D37" s="1363" t="s">
        <v>1580</v>
      </c>
      <c r="E37" s="1865"/>
      <c r="F37" s="1865"/>
      <c r="G37" s="1865"/>
      <c r="H37" s="1865"/>
      <c r="I37" s="1228">
        <f>IF($E$37&gt;=0,0,"c10&gt;=0")</f>
        <v>0</v>
      </c>
      <c r="J37" s="1228">
        <f>IF($F$37&gt;=0,0,"c20&gt;=0")</f>
        <v>0</v>
      </c>
      <c r="K37" s="1228">
        <f>IF($G$37&gt;=0,0,"c30&gt;=0")</f>
        <v>0</v>
      </c>
      <c r="L37" s="1491">
        <f>IF($H$37&gt;=0,0,"c40&gt;=0")</f>
        <v>0</v>
      </c>
      <c r="M37" s="62"/>
    </row>
    <row r="38" spans="1:13">
      <c r="A38" s="1156" t="str">
        <f t="shared" ref="A38:A44" si="1">$A$24&amp;"_"&amp;B38</f>
        <v>F-41.02_030</v>
      </c>
      <c r="B38" s="431" t="s">
        <v>294</v>
      </c>
      <c r="C38" s="101" t="s">
        <v>55</v>
      </c>
      <c r="D38" s="14" t="s">
        <v>595</v>
      </c>
      <c r="E38" s="1902"/>
      <c r="F38" s="1902"/>
      <c r="G38" s="1902"/>
      <c r="H38" s="1902"/>
      <c r="I38" s="1228">
        <f>IF($E$38&gt;=0,0,"c10&gt;=0")</f>
        <v>0</v>
      </c>
      <c r="J38" s="1228">
        <f>IF($F$38&gt;=0,0,"c20&gt;=0")</f>
        <v>0</v>
      </c>
      <c r="K38" s="1228">
        <f>IF($G$38&gt;=0,0,"c30&gt;=0")</f>
        <v>0</v>
      </c>
      <c r="L38" s="1491">
        <f>IF($H$38&gt;=0,0,"c40&gt;=0")</f>
        <v>0</v>
      </c>
      <c r="M38" s="62"/>
    </row>
    <row r="39" spans="1:13">
      <c r="A39" s="1156" t="str">
        <f t="shared" si="1"/>
        <v>F-41.02_040</v>
      </c>
      <c r="B39" s="502" t="s">
        <v>295</v>
      </c>
      <c r="C39" s="152" t="s">
        <v>61</v>
      </c>
      <c r="D39" s="14" t="s">
        <v>1576</v>
      </c>
      <c r="E39" s="1866"/>
      <c r="F39" s="1866"/>
      <c r="G39" s="1866"/>
      <c r="H39" s="1866"/>
      <c r="I39" s="1228">
        <f>IF($E$39&gt;=0,0,"c10&gt;=0")</f>
        <v>0</v>
      </c>
      <c r="J39" s="1228">
        <f>IF($F$39&gt;=0,0,"c20&gt;=0")</f>
        <v>0</v>
      </c>
      <c r="K39" s="1228">
        <f>IF($G$39&gt;=0,0,"c30&gt;=0")</f>
        <v>0</v>
      </c>
      <c r="L39" s="1491">
        <f>IF($H$39&gt;=0,0,"c40&gt;=0")</f>
        <v>0</v>
      </c>
      <c r="M39" s="62"/>
    </row>
    <row r="40" spans="1:13">
      <c r="A40" s="1100" t="s">
        <v>718</v>
      </c>
      <c r="B40" s="1348"/>
      <c r="C40" s="1364" t="s">
        <v>172</v>
      </c>
      <c r="D40" s="1365"/>
      <c r="E40" s="613"/>
      <c r="F40" s="613"/>
      <c r="G40" s="613"/>
      <c r="H40" s="613"/>
      <c r="I40" s="1228"/>
      <c r="J40" s="1228"/>
      <c r="K40" s="1228"/>
      <c r="L40" s="1491"/>
      <c r="M40" s="62"/>
    </row>
    <row r="41" spans="1:13" ht="21">
      <c r="A41" s="1156" t="str">
        <f t="shared" si="1"/>
        <v>F-41.02_050</v>
      </c>
      <c r="B41" s="1366" t="s">
        <v>296</v>
      </c>
      <c r="C41" s="1367" t="s">
        <v>1397</v>
      </c>
      <c r="D41" s="264" t="s">
        <v>1587</v>
      </c>
      <c r="E41" s="1865"/>
      <c r="F41" s="1865"/>
      <c r="G41" s="1865"/>
      <c r="H41" s="1865"/>
      <c r="I41" s="1228">
        <f>IF($E$41&gt;=0,0,"c10&gt;=0")</f>
        <v>0</v>
      </c>
      <c r="J41" s="1228">
        <f>IF($F$41&gt;=0,0,"c20&gt;=0")</f>
        <v>0</v>
      </c>
      <c r="K41" s="1228">
        <f>IF($G$41&gt;=0,0,"c30&gt;=0")</f>
        <v>0</v>
      </c>
      <c r="L41" s="1491">
        <f>IF($H$41&gt;=0,0,"c40&gt;=0")</f>
        <v>0</v>
      </c>
      <c r="M41" s="62"/>
    </row>
    <row r="42" spans="1:13" ht="21">
      <c r="A42" s="1156" t="str">
        <f t="shared" si="1"/>
        <v>F-41.02_060</v>
      </c>
      <c r="B42" s="1368" t="s">
        <v>297</v>
      </c>
      <c r="C42" s="162" t="s">
        <v>15</v>
      </c>
      <c r="D42" s="160" t="s">
        <v>1568</v>
      </c>
      <c r="E42" s="1902"/>
      <c r="F42" s="1902"/>
      <c r="G42" s="1902"/>
      <c r="H42" s="1902"/>
      <c r="I42" s="1228">
        <f>IF($E$42&gt;=0,0,"c10&gt;=0")</f>
        <v>0</v>
      </c>
      <c r="J42" s="1228">
        <f>IF($F$42&gt;=0,0,"c20&gt;=0")</f>
        <v>0</v>
      </c>
      <c r="K42" s="1228">
        <f>IF($G$42&gt;=0,0,"c30&gt;=0")</f>
        <v>0</v>
      </c>
      <c r="L42" s="1491">
        <f>IF($H$42&gt;=0,0,"c40&gt;=0")</f>
        <v>0</v>
      </c>
      <c r="M42" s="62"/>
    </row>
    <row r="43" spans="1:13">
      <c r="A43" s="1156" t="str">
        <f t="shared" si="1"/>
        <v>F-41.02_070</v>
      </c>
      <c r="B43" s="562" t="s">
        <v>298</v>
      </c>
      <c r="C43" s="163" t="s">
        <v>32</v>
      </c>
      <c r="D43" s="44" t="s">
        <v>1569</v>
      </c>
      <c r="E43" s="1866"/>
      <c r="F43" s="1866"/>
      <c r="G43" s="1866"/>
      <c r="H43" s="1866"/>
      <c r="I43" s="1228">
        <f>IF($E$43&gt;=0,0,"c10&gt;=0")</f>
        <v>0</v>
      </c>
      <c r="J43" s="1228">
        <f>IF($F$43&gt;=0,0,"c20&gt;=0")</f>
        <v>0</v>
      </c>
      <c r="K43" s="1228">
        <f>IF($G$43&gt;=0,0,"c30&gt;=0")</f>
        <v>0</v>
      </c>
      <c r="L43" s="1491">
        <f>IF($H$43&gt;=0,0,"c40&gt;=0")</f>
        <v>0</v>
      </c>
      <c r="M43" s="62"/>
    </row>
    <row r="44" spans="1:13">
      <c r="A44" s="1156" t="str">
        <f t="shared" si="1"/>
        <v>F-41.02_080</v>
      </c>
      <c r="B44" s="497" t="s">
        <v>299</v>
      </c>
      <c r="C44" s="1369" t="s">
        <v>132</v>
      </c>
      <c r="D44" s="1499" t="s">
        <v>1570</v>
      </c>
      <c r="E44" s="1903"/>
      <c r="F44" s="1903"/>
      <c r="G44" s="1903"/>
      <c r="H44" s="1903"/>
      <c r="I44" s="1228">
        <f>IF($E$44&gt;=0,0,"c10&gt;=0")</f>
        <v>0</v>
      </c>
      <c r="J44" s="1228">
        <f>IF($F$44&gt;=0,0,"c20&gt;=0")</f>
        <v>0</v>
      </c>
      <c r="K44" s="1228">
        <f>IF($G$44&gt;=0,0,"c30&gt;=0")</f>
        <v>0</v>
      </c>
      <c r="L44" s="1491">
        <f>IF($H$44&gt;=0,0,"c40&gt;=0")</f>
        <v>0</v>
      </c>
      <c r="M44" s="62"/>
    </row>
    <row r="45" spans="1:13">
      <c r="A45" s="1100" t="s">
        <v>718</v>
      </c>
      <c r="B45" s="62"/>
      <c r="C45" s="62"/>
      <c r="D45" s="62"/>
      <c r="E45" s="1370"/>
      <c r="F45" s="1371"/>
      <c r="G45" s="62"/>
      <c r="H45" s="62"/>
      <c r="I45" s="62"/>
      <c r="J45" s="62"/>
      <c r="K45" s="62"/>
      <c r="L45" s="62"/>
    </row>
    <row r="46" spans="1:13">
      <c r="A46" s="1156" t="s">
        <v>724</v>
      </c>
      <c r="B46" s="62"/>
      <c r="C46" s="62"/>
      <c r="D46" s="62"/>
      <c r="E46" s="1370"/>
      <c r="F46" s="1371"/>
      <c r="G46" s="62"/>
      <c r="H46" s="62"/>
      <c r="I46" s="62"/>
      <c r="J46" s="62"/>
      <c r="K46" s="62"/>
      <c r="L46" s="62"/>
    </row>
  </sheetData>
  <sheetProtection password="C2F4" sheet="1" objects="1" scenarios="1"/>
  <mergeCells count="10">
    <mergeCell ref="D11:D12"/>
    <mergeCell ref="F11:H11"/>
    <mergeCell ref="C33:C34"/>
    <mergeCell ref="D33:D34"/>
    <mergeCell ref="E11:E12"/>
    <mergeCell ref="F33:F34"/>
    <mergeCell ref="E33:E34"/>
    <mergeCell ref="G33:G34"/>
    <mergeCell ref="E32:H32"/>
    <mergeCell ref="H33:H34"/>
  </mergeCells>
  <dataValidations count="2">
    <dataValidation type="whole" allowBlank="1" showInputMessage="1" showErrorMessage="1" error="Wrong number format or sign" sqref="E37:H39 E41:H44">
      <formula1>0</formula1>
      <formula2>99999999</formula2>
    </dataValidation>
    <dataValidation type="whole" allowBlank="1" showInputMessage="1" showErrorMessage="1" error="wrong number format or sign_x000a_" sqref="E14:H21">
      <formula1>0</formula1>
      <formula2>99999999</formula2>
    </dataValidation>
  </dataValidations>
  <printOptions headings="1" gridLines="1"/>
  <pageMargins left="0.21" right="0.2" top="0.39" bottom="0.39" header="0.31496062992125984" footer="0.31496062992125984"/>
  <pageSetup paperSize="9" scale="63" fitToHeight="2" orientation="landscape" r:id="rId1"/>
  <rowBreaks count="1" manualBreakCount="1">
    <brk id="44" max="12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0" tint="-0.499984740745262"/>
    <pageSetUpPr fitToPage="1"/>
  </sheetPr>
  <dimension ref="A1:O40"/>
  <sheetViews>
    <sheetView topLeftCell="B6" zoomScaleNormal="100" workbookViewId="0">
      <selection activeCell="B6" sqref="B6"/>
    </sheetView>
  </sheetViews>
  <sheetFormatPr defaultColWidth="9.140625" defaultRowHeight="12.75"/>
  <cols>
    <col min="1" max="1" width="13.5703125" style="1156" hidden="1" customWidth="1"/>
    <col min="2" max="2" width="4" style="1233" bestFit="1" customWidth="1"/>
    <col min="3" max="3" width="55.7109375" style="1233" customWidth="1"/>
    <col min="4" max="4" width="34.7109375" style="1233" customWidth="1"/>
    <col min="5" max="5" width="16.42578125" style="1233" customWidth="1"/>
    <col min="6" max="6" width="9.140625" style="1233" customWidth="1"/>
    <col min="7" max="7" width="21.5703125" style="1233" customWidth="1"/>
    <col min="8" max="16384" width="9.140625" style="1233"/>
  </cols>
  <sheetData>
    <row r="1" spans="1:15" s="1097" customFormat="1" ht="18" hidden="1" customHeight="1">
      <c r="A1" s="1096" t="s">
        <v>1535</v>
      </c>
      <c r="B1" s="1118">
        <v>2</v>
      </c>
      <c r="C1" s="1118">
        <v>1</v>
      </c>
      <c r="D1" s="1119">
        <v>11</v>
      </c>
      <c r="E1" s="1182">
        <v>5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15" s="1097" customFormat="1" ht="18" hidden="1" customHeight="1">
      <c r="A2" s="1096" t="str">
        <f>Index!$A$2</f>
        <v>V20181222</v>
      </c>
      <c r="B2" s="1098"/>
      <c r="C2" s="1099"/>
      <c r="D2" s="1100"/>
      <c r="E2" s="1100" t="str">
        <f>$A$1&amp;"_"&amp;E10</f>
        <v>F-42.00_010</v>
      </c>
      <c r="F2" s="1100"/>
      <c r="G2" s="1100"/>
      <c r="H2" s="1100"/>
      <c r="I2" s="1100"/>
      <c r="J2" s="1100"/>
      <c r="K2" s="1100"/>
      <c r="L2" s="1100"/>
      <c r="M2" s="1100"/>
      <c r="N2" s="1101"/>
    </row>
    <row r="3" spans="1:15" s="1097" customFormat="1" ht="18" hidden="1" customHeight="1">
      <c r="A3" s="1096" t="str">
        <f>"R:A1:P"&amp;ROW(A35)+1</f>
        <v>R:A1:P36</v>
      </c>
      <c r="B3" s="1102"/>
      <c r="C3" s="1103"/>
      <c r="D3" s="1104"/>
      <c r="E3" s="1105"/>
      <c r="F3" s="1106"/>
      <c r="G3" s="1107"/>
      <c r="H3" s="1107"/>
      <c r="I3" s="1107"/>
      <c r="J3" s="1107"/>
      <c r="K3" s="1107"/>
    </row>
    <row r="4" spans="1:15" s="1097" customFormat="1" ht="18" hidden="1" customHeight="1">
      <c r="A4" s="1096"/>
      <c r="B4" s="1102"/>
      <c r="C4" s="1103"/>
      <c r="D4" s="1108"/>
      <c r="E4" s="1109"/>
      <c r="F4" s="1110"/>
      <c r="G4" s="1111">
        <f>N5</f>
        <v>0</v>
      </c>
      <c r="H4" s="1107"/>
      <c r="I4" s="1107"/>
      <c r="J4" s="1107"/>
      <c r="K4" s="1107"/>
    </row>
    <row r="5" spans="1:15" s="1097" customFormat="1" ht="18" hidden="1" customHeight="1">
      <c r="A5" s="1096"/>
      <c r="B5" s="1102"/>
      <c r="C5" s="1103"/>
      <c r="D5" s="1112"/>
      <c r="E5" s="1113"/>
      <c r="F5" s="1114"/>
      <c r="N5" s="1097">
        <f>COUNTIF(F10:H20,"&lt;&gt;0")-COUNTBLANK(F10:H20)</f>
        <v>0</v>
      </c>
    </row>
    <row r="6" spans="1:15" s="1116" customFormat="1">
      <c r="A6" s="1100" t="s">
        <v>718</v>
      </c>
      <c r="B6" s="1115"/>
    </row>
    <row r="7" spans="1:15">
      <c r="A7" s="1100" t="s">
        <v>718</v>
      </c>
      <c r="B7" s="272" t="s">
        <v>1398</v>
      </c>
      <c r="C7" s="272"/>
      <c r="D7" s="272"/>
      <c r="E7" s="158" t="str">
        <f>IF(SUM($E$11:$E$19)&lt;&gt;0,"Y","N")</f>
        <v>N</v>
      </c>
      <c r="F7" s="62"/>
      <c r="G7" s="62"/>
    </row>
    <row r="8" spans="1:15">
      <c r="A8" s="1100" t="s">
        <v>718</v>
      </c>
      <c r="B8" s="62"/>
      <c r="C8" s="107"/>
      <c r="D8" s="107"/>
      <c r="E8" s="107"/>
      <c r="F8" s="62"/>
      <c r="G8" s="62"/>
    </row>
    <row r="9" spans="1:15">
      <c r="A9" s="1100" t="s">
        <v>718</v>
      </c>
      <c r="B9" s="586"/>
      <c r="C9" s="483"/>
      <c r="D9" s="604" t="s">
        <v>551</v>
      </c>
      <c r="E9" s="1372" t="s">
        <v>57</v>
      </c>
      <c r="F9" s="62"/>
      <c r="G9" s="62"/>
    </row>
    <row r="10" spans="1:15">
      <c r="A10" s="1100" t="s">
        <v>718</v>
      </c>
      <c r="B10" s="405"/>
      <c r="C10" s="566"/>
      <c r="D10" s="567"/>
      <c r="E10" s="568" t="s">
        <v>292</v>
      </c>
      <c r="F10" s="62"/>
      <c r="G10" s="62"/>
    </row>
    <row r="11" spans="1:15">
      <c r="A11" s="1156" t="str">
        <f t="shared" ref="A11:A19" si="0">$A$1&amp;"_"&amp;B11</f>
        <v>F-42.00_010</v>
      </c>
      <c r="B11" s="430" t="s">
        <v>292</v>
      </c>
      <c r="C11" s="1310" t="s">
        <v>177</v>
      </c>
      <c r="D11" s="300" t="s">
        <v>1399</v>
      </c>
      <c r="E11" s="1904"/>
      <c r="F11" s="1228">
        <f>IF($E$11&gt;=0,0,"F42&gt;=0")</f>
        <v>0</v>
      </c>
      <c r="G11" s="1228">
        <f>IF($E$7="Y", IF('21'!$E$12&lt;= $E$11,0,"(F21,r10)&lt;=(F42,r10)"),0)</f>
        <v>0</v>
      </c>
      <c r="H11" s="1305"/>
    </row>
    <row r="12" spans="1:15">
      <c r="A12" s="1156" t="str">
        <f t="shared" si="0"/>
        <v>F-42.00_020</v>
      </c>
      <c r="B12" s="431" t="s">
        <v>293</v>
      </c>
      <c r="C12" s="36" t="s">
        <v>402</v>
      </c>
      <c r="D12" s="115" t="s">
        <v>1400</v>
      </c>
      <c r="E12" s="1877"/>
      <c r="F12" s="1228">
        <f>IF($E$12&gt;=0,0,"F42&gt;=0")</f>
        <v>0</v>
      </c>
      <c r="G12" s="1228">
        <f>IF($E$7="Y", IF('21'!$E$13&lt;= $E$12,0,"(F21,r20)&lt;=(F42,r20)"),0)</f>
        <v>0</v>
      </c>
      <c r="H12" s="62"/>
    </row>
    <row r="13" spans="1:15">
      <c r="A13" s="1156" t="str">
        <f t="shared" si="0"/>
        <v>F-42.00_030</v>
      </c>
      <c r="B13" s="431" t="s">
        <v>294</v>
      </c>
      <c r="C13" s="36" t="s">
        <v>403</v>
      </c>
      <c r="D13" s="115" t="s">
        <v>1401</v>
      </c>
      <c r="E13" s="1877"/>
      <c r="F13" s="1228">
        <f>IF($E$13&gt;=0,0,"F42&gt;=0")</f>
        <v>0</v>
      </c>
      <c r="G13" s="1228">
        <f>IF($E$7="Y", IF('21'!$E$14&lt;= $E$13,0,"(F21,r30)&lt;=(F42,r30)"),0)</f>
        <v>0</v>
      </c>
      <c r="H13" s="62"/>
    </row>
    <row r="14" spans="1:15">
      <c r="A14" s="1156" t="str">
        <f>$A$1&amp;"_"&amp;B14</f>
        <v>F-42.00_040</v>
      </c>
      <c r="B14" s="431" t="s">
        <v>295</v>
      </c>
      <c r="C14" s="1312" t="s">
        <v>159</v>
      </c>
      <c r="D14" s="291" t="s">
        <v>1402</v>
      </c>
      <c r="E14" s="1905"/>
      <c r="F14" s="1228">
        <f>IF($E$14&gt;=0,0,"F42&gt;=0")</f>
        <v>0</v>
      </c>
      <c r="G14" s="1228">
        <f>IF($E$7="Y", IF('21'!$E$15&lt;= $E$14,0,"(F21,r40)&lt;=(F42,r40)"),0)</f>
        <v>0</v>
      </c>
      <c r="H14" s="1305"/>
    </row>
    <row r="15" spans="1:15">
      <c r="A15" s="1156" t="str">
        <f t="shared" si="0"/>
        <v>F-42.00_050</v>
      </c>
      <c r="B15" s="431" t="s">
        <v>296</v>
      </c>
      <c r="C15" s="36" t="s">
        <v>404</v>
      </c>
      <c r="D15" s="291" t="s">
        <v>1565</v>
      </c>
      <c r="E15" s="1906"/>
      <c r="F15" s="1228">
        <f>IF($E$15&gt;=0,0,"F42&gt;=0")</f>
        <v>0</v>
      </c>
      <c r="G15" s="1228">
        <f>IF($E$7="Y", IF('21'!$E$16&lt;= $E$15,0,"(F21,r50)&lt;=(F42,r50)"),0)</f>
        <v>0</v>
      </c>
      <c r="H15" s="62"/>
    </row>
    <row r="16" spans="1:15">
      <c r="A16" s="1156" t="str">
        <f t="shared" si="0"/>
        <v>F-42.00_060</v>
      </c>
      <c r="B16" s="431" t="s">
        <v>297</v>
      </c>
      <c r="C16" s="36" t="s">
        <v>403</v>
      </c>
      <c r="D16" s="291" t="s">
        <v>1403</v>
      </c>
      <c r="E16" s="1906"/>
      <c r="F16" s="1228">
        <f>IF($E$16&gt;=0,0,"F42&gt;=0")</f>
        <v>0</v>
      </c>
      <c r="G16" s="1228">
        <f>IF($E$7="Y", IF('21'!$E$17&lt;= $E$16,0,"(F21,r60)&lt;=(F42,r60)"),0)</f>
        <v>0</v>
      </c>
      <c r="H16" s="62"/>
    </row>
    <row r="17" spans="1:8" ht="21.75">
      <c r="A17" s="1156" t="str">
        <f t="shared" si="0"/>
        <v>F-42.00_070</v>
      </c>
      <c r="B17" s="431" t="s">
        <v>298</v>
      </c>
      <c r="C17" s="1312" t="s">
        <v>69</v>
      </c>
      <c r="D17" s="291" t="s">
        <v>1566</v>
      </c>
      <c r="E17" s="1905"/>
      <c r="F17" s="1228">
        <f>IF($E$17&gt;=0,0,"F42&gt;=0")</f>
        <v>0</v>
      </c>
      <c r="G17" s="1228">
        <f>IF($E$7="Y", IF('21'!$E$18&lt;= $E$17,0,"(F21,r70)&lt;=(F42,r70)"),0)</f>
        <v>0</v>
      </c>
      <c r="H17" s="1305"/>
    </row>
    <row r="18" spans="1:8">
      <c r="A18" s="1156" t="str">
        <f t="shared" si="0"/>
        <v>F-42.00_080</v>
      </c>
      <c r="B18" s="431" t="s">
        <v>299</v>
      </c>
      <c r="C18" s="36" t="s">
        <v>405</v>
      </c>
      <c r="D18" s="115" t="s">
        <v>1404</v>
      </c>
      <c r="E18" s="1877"/>
      <c r="F18" s="1228">
        <f>IF($E$18&gt;=0,0,"F42&gt;=0")</f>
        <v>0</v>
      </c>
      <c r="G18" s="1228">
        <f>IF($E$7="Y", IF('21'!$E$19&lt;= $E$18,0,"(F21,r80)&lt;=(F42,r80)"),0)</f>
        <v>0</v>
      </c>
      <c r="H18" s="62"/>
    </row>
    <row r="19" spans="1:8">
      <c r="A19" s="1156" t="str">
        <f t="shared" si="0"/>
        <v>F-42.00_090</v>
      </c>
      <c r="B19" s="482" t="s">
        <v>300</v>
      </c>
      <c r="C19" s="118" t="s">
        <v>403</v>
      </c>
      <c r="D19" s="117" t="s">
        <v>1405</v>
      </c>
      <c r="E19" s="1907"/>
      <c r="F19" s="1228">
        <f>IF($E$19&gt;=0,0,"F42&gt;=0")</f>
        <v>0</v>
      </c>
      <c r="G19" s="1228">
        <f>IF($E$7="Y", IF('21'!$E$20&lt;= $E$19,0,"(F21,r90)&lt;=(F42,r90)"),0)</f>
        <v>0</v>
      </c>
      <c r="H19" s="62"/>
    </row>
    <row r="20" spans="1:8">
      <c r="A20" s="1100" t="s">
        <v>718</v>
      </c>
    </row>
    <row r="21" spans="1:8">
      <c r="A21" s="1100" t="s">
        <v>718</v>
      </c>
    </row>
    <row r="22" spans="1:8">
      <c r="A22" s="1100" t="s">
        <v>718</v>
      </c>
    </row>
    <row r="23" spans="1:8">
      <c r="A23" s="1100" t="s">
        <v>718</v>
      </c>
    </row>
    <row r="24" spans="1:8">
      <c r="A24" s="1100" t="s">
        <v>718</v>
      </c>
    </row>
    <row r="25" spans="1:8">
      <c r="A25" s="1100" t="s">
        <v>718</v>
      </c>
    </row>
    <row r="26" spans="1:8">
      <c r="A26" s="1100" t="s">
        <v>718</v>
      </c>
    </row>
    <row r="27" spans="1:8">
      <c r="A27" s="1100" t="s">
        <v>718</v>
      </c>
    </row>
    <row r="28" spans="1:8">
      <c r="A28" s="1100" t="s">
        <v>718</v>
      </c>
    </row>
    <row r="29" spans="1:8">
      <c r="A29" s="1100" t="s">
        <v>718</v>
      </c>
    </row>
    <row r="30" spans="1:8">
      <c r="A30" s="1100" t="s">
        <v>718</v>
      </c>
    </row>
    <row r="31" spans="1:8">
      <c r="A31" s="1100" t="s">
        <v>718</v>
      </c>
    </row>
    <row r="32" spans="1:8">
      <c r="A32" s="1100" t="s">
        <v>718</v>
      </c>
    </row>
    <row r="33" spans="1:2">
      <c r="A33" s="1100" t="s">
        <v>718</v>
      </c>
    </row>
    <row r="34" spans="1:2">
      <c r="A34" s="1100" t="s">
        <v>718</v>
      </c>
    </row>
    <row r="35" spans="1:2">
      <c r="A35" s="1156" t="s">
        <v>724</v>
      </c>
    </row>
    <row r="40" spans="1:2">
      <c r="A40" s="1097"/>
      <c r="B40" s="1689"/>
    </row>
  </sheetData>
  <sheetProtection password="C2F4" sheet="1" objects="1" scenarios="1"/>
  <dataValidations count="1">
    <dataValidation type="whole" allowBlank="1" showInputMessage="1" showErrorMessage="1" error="wrong number format or sign" sqref="E11:E19">
      <formula1>0</formula1>
      <formula2>99999999</formula2>
    </dataValidation>
  </dataValidations>
  <printOptions headings="1" gridLines="1"/>
  <pageMargins left="0.22" right="0.23" top="0.74803149606299213" bottom="0.74803149606299213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0" tint="-0.499984740745262"/>
    <pageSetUpPr fitToPage="1"/>
  </sheetPr>
  <dimension ref="A1:O40"/>
  <sheetViews>
    <sheetView topLeftCell="B6" zoomScaleNormal="100" workbookViewId="0">
      <selection activeCell="B6" sqref="B6"/>
    </sheetView>
  </sheetViews>
  <sheetFormatPr defaultColWidth="9.140625" defaultRowHeight="12.75"/>
  <cols>
    <col min="1" max="1" width="13.5703125" style="1156" hidden="1" customWidth="1"/>
    <col min="2" max="2" width="3.85546875" style="1233" customWidth="1"/>
    <col min="3" max="3" width="70.85546875" style="1233" customWidth="1"/>
    <col min="4" max="4" width="18" style="1233" customWidth="1"/>
    <col min="5" max="5" width="17.140625" style="1233" customWidth="1"/>
    <col min="6" max="6" width="19.5703125" style="1233" customWidth="1"/>
    <col min="7" max="7" width="14.42578125" style="1233" customWidth="1"/>
    <col min="8" max="8" width="14.5703125" style="1233" customWidth="1"/>
    <col min="9" max="9" width="17" style="1233" customWidth="1"/>
    <col min="10" max="10" width="14.7109375" style="1233" customWidth="1"/>
    <col min="11" max="12" width="14.28515625" style="1233" customWidth="1"/>
    <col min="13" max="16384" width="9.140625" style="1233"/>
  </cols>
  <sheetData>
    <row r="1" spans="1:15" s="1097" customFormat="1" ht="18" hidden="1" customHeight="1">
      <c r="A1" s="1096" t="s">
        <v>1536</v>
      </c>
      <c r="B1" s="1118">
        <v>2</v>
      </c>
      <c r="C1" s="1118">
        <v>1</v>
      </c>
      <c r="D1" s="1119">
        <v>13</v>
      </c>
      <c r="E1" s="1182">
        <v>5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15" s="1097" customFormat="1" ht="18" hidden="1" customHeight="1">
      <c r="A2" s="1096" t="str">
        <f>Index!$A$2</f>
        <v>V20181222</v>
      </c>
      <c r="B2" s="1098"/>
      <c r="C2" s="1099"/>
      <c r="D2" s="1100"/>
      <c r="E2" s="1100" t="str">
        <f>$A$1&amp;"_"&amp;E12</f>
        <v>F-43.00_010</v>
      </c>
      <c r="F2" s="1100" t="str">
        <f t="shared" ref="F2:I2" si="0">$A$1&amp;"_"&amp;F12</f>
        <v>F-43.00_020</v>
      </c>
      <c r="G2" s="1100" t="str">
        <f t="shared" si="0"/>
        <v>F-43.00_030</v>
      </c>
      <c r="H2" s="1100" t="str">
        <f t="shared" si="0"/>
        <v>F-43.00_040</v>
      </c>
      <c r="I2" s="1100" t="str">
        <f t="shared" si="0"/>
        <v>F-43.00_055</v>
      </c>
      <c r="J2" s="1100" t="str">
        <f>$A$1&amp;"_"&amp;J12</f>
        <v>F-43.00_060</v>
      </c>
      <c r="K2" s="1100"/>
      <c r="L2" s="1100"/>
      <c r="M2" s="1100"/>
      <c r="N2" s="1101"/>
    </row>
    <row r="3" spans="1:15" s="1097" customFormat="1" ht="18" hidden="1" customHeight="1">
      <c r="A3" s="1096" t="str">
        <f>"R:A1:P"&amp;ROW(A35)+1</f>
        <v>R:A1:P36</v>
      </c>
      <c r="B3" s="1102"/>
      <c r="C3" s="1103"/>
      <c r="D3" s="1104"/>
      <c r="E3" s="1105"/>
      <c r="F3" s="1106"/>
      <c r="G3" s="1107"/>
      <c r="H3" s="1107"/>
      <c r="I3" s="1107"/>
      <c r="J3" s="1107"/>
      <c r="K3" s="1107"/>
      <c r="L3" s="1107"/>
    </row>
    <row r="4" spans="1:15" s="1097" customFormat="1" ht="18" hidden="1" customHeight="1">
      <c r="A4" s="1096"/>
      <c r="B4" s="1102"/>
      <c r="C4" s="1103"/>
      <c r="D4" s="1108"/>
      <c r="E4" s="1109"/>
      <c r="F4" s="1110"/>
      <c r="G4" s="1111">
        <f>O5</f>
        <v>0</v>
      </c>
      <c r="H4" s="1107"/>
      <c r="I4" s="1107"/>
      <c r="J4" s="1107"/>
      <c r="K4" s="1107"/>
      <c r="L4" s="1107"/>
    </row>
    <row r="5" spans="1:15" s="1097" customFormat="1" ht="18" hidden="1" customHeight="1">
      <c r="A5" s="1096"/>
      <c r="B5" s="1102"/>
      <c r="C5" s="1103"/>
      <c r="D5" s="1112"/>
      <c r="E5" s="1113"/>
      <c r="F5" s="1114"/>
      <c r="O5" s="1097">
        <f>COUNTIF(E20:L25,"&lt;&gt;0")-COUNTBLANK(E20:L25)</f>
        <v>0</v>
      </c>
    </row>
    <row r="6" spans="1:15" s="1116" customFormat="1">
      <c r="A6" s="1100" t="s">
        <v>718</v>
      </c>
      <c r="B6" s="1115"/>
    </row>
    <row r="7" spans="1:15">
      <c r="A7" s="1100" t="s">
        <v>718</v>
      </c>
      <c r="B7" s="272" t="s">
        <v>1406</v>
      </c>
      <c r="C7" s="112"/>
      <c r="D7" s="112"/>
      <c r="E7" s="158" t="str">
        <f>IF(SUM($E$13:$J$19)&lt;&gt;0,"Y","N")</f>
        <v>N</v>
      </c>
      <c r="F7" s="112"/>
      <c r="G7" s="112"/>
      <c r="H7" s="112"/>
      <c r="I7" s="112"/>
      <c r="J7" s="112"/>
      <c r="K7" s="112"/>
      <c r="L7" s="112"/>
    </row>
    <row r="8" spans="1:15">
      <c r="A8" s="1100" t="s">
        <v>718</v>
      </c>
      <c r="B8" s="272"/>
      <c r="C8" s="1373"/>
      <c r="D8" s="112"/>
      <c r="E8" s="112"/>
      <c r="F8" s="112"/>
      <c r="G8" s="112"/>
      <c r="H8" s="112"/>
      <c r="I8" s="112"/>
      <c r="J8" s="112"/>
      <c r="K8" s="112"/>
      <c r="L8" s="112"/>
    </row>
    <row r="9" spans="1:15" ht="23.25" customHeight="1">
      <c r="A9" s="1100" t="s">
        <v>718</v>
      </c>
      <c r="B9" s="586"/>
      <c r="C9" s="1374"/>
      <c r="D9" s="1992" t="s">
        <v>551</v>
      </c>
      <c r="E9" s="2087" t="s">
        <v>1559</v>
      </c>
      <c r="F9" s="2136"/>
      <c r="G9" s="2136"/>
      <c r="H9" s="2136"/>
      <c r="I9" s="2136"/>
      <c r="J9" s="2137"/>
    </row>
    <row r="10" spans="1:15" ht="91.5" customHeight="1">
      <c r="A10" s="1100" t="s">
        <v>718</v>
      </c>
      <c r="B10" s="455"/>
      <c r="C10" s="2135"/>
      <c r="D10" s="1993"/>
      <c r="E10" s="613" t="s">
        <v>395</v>
      </c>
      <c r="F10" s="613" t="s">
        <v>460</v>
      </c>
      <c r="G10" s="1227" t="s">
        <v>7</v>
      </c>
      <c r="H10" s="613" t="s">
        <v>8</v>
      </c>
      <c r="I10" s="1696" t="s">
        <v>1562</v>
      </c>
      <c r="J10" s="613" t="s">
        <v>9</v>
      </c>
    </row>
    <row r="11" spans="1:15" ht="31.5">
      <c r="A11" s="1100" t="s">
        <v>718</v>
      </c>
      <c r="B11" s="455"/>
      <c r="C11" s="2135"/>
      <c r="D11" s="1993"/>
      <c r="E11" s="584" t="s">
        <v>1560</v>
      </c>
      <c r="F11" s="584" t="s">
        <v>1561</v>
      </c>
      <c r="G11" s="584" t="s">
        <v>1407</v>
      </c>
      <c r="H11" s="584" t="s">
        <v>1408</v>
      </c>
      <c r="I11" s="584" t="s">
        <v>1563</v>
      </c>
      <c r="J11" s="584" t="s">
        <v>1408</v>
      </c>
    </row>
    <row r="12" spans="1:15">
      <c r="A12" s="1100" t="s">
        <v>718</v>
      </c>
      <c r="B12" s="1375"/>
      <c r="C12" s="1376"/>
      <c r="D12" s="1994"/>
      <c r="E12" s="583" t="s">
        <v>292</v>
      </c>
      <c r="F12" s="583" t="s">
        <v>293</v>
      </c>
      <c r="G12" s="583" t="s">
        <v>294</v>
      </c>
      <c r="H12" s="583" t="s">
        <v>295</v>
      </c>
      <c r="I12" s="583" t="s">
        <v>1564</v>
      </c>
      <c r="J12" s="583" t="s">
        <v>297</v>
      </c>
    </row>
    <row r="13" spans="1:15" ht="21">
      <c r="A13" s="1156" t="str">
        <f t="shared" ref="A13:A19" si="1">$A$1&amp;"_"&amp;B13</f>
        <v>F-43.00_010</v>
      </c>
      <c r="B13" s="1377" t="s">
        <v>292</v>
      </c>
      <c r="C13" s="1378" t="s">
        <v>1409</v>
      </c>
      <c r="D13" s="337" t="s">
        <v>1410</v>
      </c>
      <c r="E13" s="1882"/>
      <c r="F13" s="1882"/>
      <c r="G13" s="1882"/>
      <c r="H13" s="1882"/>
      <c r="I13" s="1882"/>
      <c r="J13" s="1882"/>
      <c r="K13" s="1439"/>
    </row>
    <row r="14" spans="1:15" ht="21">
      <c r="A14" s="1156" t="str">
        <f t="shared" si="1"/>
        <v>F-43.00_020</v>
      </c>
      <c r="B14" s="431" t="s">
        <v>293</v>
      </c>
      <c r="C14" s="126" t="s">
        <v>1411</v>
      </c>
      <c r="D14" s="89" t="s">
        <v>1412</v>
      </c>
      <c r="E14" s="1877"/>
      <c r="F14" s="1877"/>
      <c r="G14" s="1877"/>
      <c r="H14" s="1877"/>
      <c r="I14" s="1877"/>
      <c r="J14" s="1877"/>
      <c r="K14" s="1439"/>
    </row>
    <row r="15" spans="1:15" ht="21">
      <c r="A15" s="1156" t="str">
        <f t="shared" si="1"/>
        <v>F-43.00_030</v>
      </c>
      <c r="B15" s="431" t="s">
        <v>294</v>
      </c>
      <c r="C15" s="163" t="s">
        <v>1413</v>
      </c>
      <c r="D15" s="160" t="s">
        <v>1414</v>
      </c>
      <c r="E15" s="1908"/>
      <c r="F15" s="1908"/>
      <c r="G15" s="1908"/>
      <c r="H15" s="1908"/>
      <c r="I15" s="1908"/>
      <c r="J15" s="1908"/>
      <c r="K15" s="1439"/>
    </row>
    <row r="16" spans="1:15" ht="21">
      <c r="A16" s="1156" t="str">
        <f t="shared" si="1"/>
        <v>F-43.00_040</v>
      </c>
      <c r="B16" s="431" t="s">
        <v>295</v>
      </c>
      <c r="C16" s="163" t="s">
        <v>1415</v>
      </c>
      <c r="D16" s="160" t="s">
        <v>1416</v>
      </c>
      <c r="E16" s="1908"/>
      <c r="F16" s="1908"/>
      <c r="G16" s="1908"/>
      <c r="H16" s="1908"/>
      <c r="I16" s="1908"/>
      <c r="J16" s="1908"/>
      <c r="K16" s="1439"/>
    </row>
    <row r="17" spans="1:12" ht="21">
      <c r="A17" s="1156" t="str">
        <f t="shared" si="1"/>
        <v>F-43.00_050</v>
      </c>
      <c r="B17" s="431" t="s">
        <v>296</v>
      </c>
      <c r="C17" s="163" t="s">
        <v>1417</v>
      </c>
      <c r="D17" s="160" t="s">
        <v>1418</v>
      </c>
      <c r="E17" s="1877"/>
      <c r="F17" s="1877"/>
      <c r="G17" s="1877"/>
      <c r="H17" s="1877"/>
      <c r="I17" s="1877"/>
      <c r="J17" s="1877"/>
      <c r="K17" s="1439"/>
    </row>
    <row r="18" spans="1:12" ht="21">
      <c r="A18" s="1156" t="str">
        <f t="shared" si="1"/>
        <v>F-43.00_060</v>
      </c>
      <c r="B18" s="431" t="s">
        <v>297</v>
      </c>
      <c r="C18" s="127" t="s">
        <v>1419</v>
      </c>
      <c r="D18" s="1381"/>
      <c r="E18" s="1877"/>
      <c r="F18" s="1877"/>
      <c r="G18" s="1877"/>
      <c r="H18" s="1877"/>
      <c r="I18" s="1877"/>
      <c r="J18" s="1877"/>
      <c r="K18" s="1439"/>
    </row>
    <row r="19" spans="1:12" ht="21">
      <c r="A19" s="1156" t="str">
        <f t="shared" si="1"/>
        <v>F-43.00_070</v>
      </c>
      <c r="B19" s="1382" t="s">
        <v>298</v>
      </c>
      <c r="C19" s="176" t="s">
        <v>1420</v>
      </c>
      <c r="D19" s="278" t="s">
        <v>1410</v>
      </c>
      <c r="E19" s="1907"/>
      <c r="F19" s="1907"/>
      <c r="G19" s="1907"/>
      <c r="H19" s="1907"/>
      <c r="I19" s="1907"/>
      <c r="J19" s="1907"/>
      <c r="K19" s="1439"/>
    </row>
    <row r="20" spans="1:12">
      <c r="A20" s="1100" t="s">
        <v>718</v>
      </c>
      <c r="B20" s="112"/>
      <c r="C20" s="90"/>
      <c r="D20" s="112"/>
      <c r="E20" s="1379">
        <f>IF($E$15&lt;=0,0,"r30&lt;=0")</f>
        <v>0</v>
      </c>
      <c r="F20" s="1379">
        <f>IF($F$15&lt;=0,0,"r30&lt;=0")</f>
        <v>0</v>
      </c>
      <c r="G20" s="1379">
        <f>IF($G$15&lt;=0,0,"r30&lt;=0")</f>
        <v>0</v>
      </c>
      <c r="H20" s="1379">
        <f>IF($H$15&lt;=0,0,"r30&lt;=0")</f>
        <v>0</v>
      </c>
      <c r="I20" s="1379">
        <f>IF($I$15&lt;=0,0,"r30&lt;=0")</f>
        <v>0</v>
      </c>
      <c r="J20" s="1379">
        <f>IF($J$15&lt;=0,0,"r30&lt;=0")</f>
        <v>0</v>
      </c>
    </row>
    <row r="21" spans="1:12">
      <c r="A21" s="1100" t="s">
        <v>718</v>
      </c>
      <c r="B21" s="112"/>
      <c r="C21" s="112"/>
      <c r="D21" s="112"/>
      <c r="E21" s="1379">
        <f>IF($E$16&lt;=0,0,"r40&lt;=0")</f>
        <v>0</v>
      </c>
      <c r="F21" s="1379">
        <f>IF($F$16&lt;=0,0,"r40&lt;=0")</f>
        <v>0</v>
      </c>
      <c r="G21" s="1379">
        <f>IF($G$16&lt;=0,0,"r40&lt;=0")</f>
        <v>0</v>
      </c>
      <c r="H21" s="1379">
        <f>IF($H$16&lt;=0,0,"r40&lt;=0")</f>
        <v>0</v>
      </c>
      <c r="I21" s="1379">
        <f>IF($I$16&lt;=0,0,"r40&lt;=0")</f>
        <v>0</v>
      </c>
      <c r="J21" s="1379">
        <f>IF($J$16&lt;=0,0,"r40&lt;=0")</f>
        <v>0</v>
      </c>
    </row>
    <row r="22" spans="1:12">
      <c r="A22" s="1100" t="s">
        <v>718</v>
      </c>
      <c r="B22" s="112"/>
      <c r="C22" s="112"/>
      <c r="E22" s="1379"/>
      <c r="F22" s="1379"/>
      <c r="G22" s="1379"/>
      <c r="H22" s="1379"/>
      <c r="I22" s="1379"/>
      <c r="J22" s="1379"/>
    </row>
    <row r="23" spans="1:12">
      <c r="A23" s="1100" t="s">
        <v>718</v>
      </c>
      <c r="B23" s="112"/>
      <c r="C23" s="112"/>
      <c r="F23" s="1379"/>
      <c r="G23" s="1379"/>
      <c r="H23" s="1379"/>
      <c r="I23" s="1379"/>
      <c r="J23" s="1379"/>
      <c r="K23" s="1379"/>
    </row>
    <row r="24" spans="1:12">
      <c r="A24" s="1100" t="s">
        <v>718</v>
      </c>
      <c r="B24" s="112"/>
      <c r="C24" s="112"/>
    </row>
    <row r="25" spans="1:12">
      <c r="A25" s="1100" t="s">
        <v>718</v>
      </c>
      <c r="B25" s="112"/>
      <c r="C25" s="112"/>
    </row>
    <row r="26" spans="1:12">
      <c r="A26" s="1100" t="s">
        <v>718</v>
      </c>
      <c r="B26" s="112"/>
      <c r="C26" s="112"/>
      <c r="E26" s="1379"/>
      <c r="F26" s="1379"/>
      <c r="G26" s="1379"/>
      <c r="H26" s="1379"/>
      <c r="I26" s="1379"/>
      <c r="J26" s="1379"/>
      <c r="K26" s="1379"/>
      <c r="L26" s="1379"/>
    </row>
    <row r="27" spans="1:12">
      <c r="A27" s="1100" t="s">
        <v>718</v>
      </c>
      <c r="B27" s="112"/>
      <c r="C27" s="112"/>
      <c r="E27" s="1379"/>
      <c r="F27" s="1379"/>
      <c r="G27" s="1379"/>
      <c r="H27" s="1379"/>
      <c r="I27" s="1379"/>
      <c r="J27" s="1379"/>
      <c r="K27" s="1379"/>
      <c r="L27" s="1379"/>
    </row>
    <row r="28" spans="1:12">
      <c r="A28" s="1100" t="s">
        <v>718</v>
      </c>
      <c r="B28" s="112"/>
      <c r="C28" s="112"/>
      <c r="E28" s="1379"/>
      <c r="F28" s="1379"/>
      <c r="G28" s="1379"/>
      <c r="H28" s="1379"/>
      <c r="I28" s="1379"/>
      <c r="J28" s="1379"/>
      <c r="K28" s="1379"/>
      <c r="L28" s="1379"/>
    </row>
    <row r="29" spans="1:12">
      <c r="A29" s="1100" t="s">
        <v>718</v>
      </c>
    </row>
    <row r="30" spans="1:12">
      <c r="A30" s="1100" t="s">
        <v>718</v>
      </c>
    </row>
    <row r="31" spans="1:12">
      <c r="A31" s="1100" t="s">
        <v>718</v>
      </c>
    </row>
    <row r="32" spans="1:12">
      <c r="A32" s="1100" t="s">
        <v>718</v>
      </c>
    </row>
    <row r="33" spans="1:1">
      <c r="A33" s="1100" t="s">
        <v>718</v>
      </c>
    </row>
    <row r="34" spans="1:1">
      <c r="A34" s="1100" t="s">
        <v>718</v>
      </c>
    </row>
    <row r="35" spans="1:1">
      <c r="A35" s="1156" t="s">
        <v>724</v>
      </c>
    </row>
    <row r="40" spans="1:1">
      <c r="A40" s="1100"/>
    </row>
  </sheetData>
  <sheetProtection password="C2F4" sheet="1" objects="1" scenarios="1"/>
  <mergeCells count="3">
    <mergeCell ref="C10:C11"/>
    <mergeCell ref="D9:D12"/>
    <mergeCell ref="E9:J9"/>
  </mergeCells>
  <dataValidations count="3">
    <dataValidation type="whole" allowBlank="1" showInputMessage="1" showErrorMessage="1" error="wrong number format or sign" sqref="E13:J14">
      <formula1>0</formula1>
      <formula2>99999999</formula2>
    </dataValidation>
    <dataValidation type="whole" allowBlank="1" showInputMessage="1" showErrorMessage="1" error="Wrong number format or sign" sqref="E15:J16">
      <formula1>-99999999</formula1>
      <formula2>0</formula2>
    </dataValidation>
    <dataValidation type="whole" allowBlank="1" showInputMessage="1" showErrorMessage="1" error="wrong number format or sign" sqref="E17:J19">
      <formula1>-99999999</formula1>
      <formula2>99999999</formula2>
    </dataValidation>
  </dataValidations>
  <printOptions headings="1" gridLines="1"/>
  <pageMargins left="0.25" right="0.2" top="0.46" bottom="0.41" header="0.31496062992125984" footer="0.31496062992125984"/>
  <pageSetup paperSize="9" scale="66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0" tint="-0.499984740745262"/>
    <pageSetUpPr fitToPage="1"/>
  </sheetPr>
  <dimension ref="A1:O65"/>
  <sheetViews>
    <sheetView topLeftCell="B6" workbookViewId="0">
      <selection activeCell="B6" sqref="B6"/>
    </sheetView>
  </sheetViews>
  <sheetFormatPr defaultColWidth="9.140625" defaultRowHeight="12.75"/>
  <cols>
    <col min="1" max="1" width="13.5703125" style="1156" hidden="1" customWidth="1"/>
    <col min="2" max="2" width="5.42578125" style="1233" customWidth="1"/>
    <col min="3" max="3" width="77.5703125" style="1233" customWidth="1"/>
    <col min="4" max="4" width="29.5703125" style="1233" bestFit="1" customWidth="1"/>
    <col min="5" max="5" width="14.28515625" style="1233" customWidth="1"/>
    <col min="6" max="6" width="17.7109375" style="1233" customWidth="1"/>
    <col min="7" max="7" width="13.5703125" style="1233" customWidth="1"/>
    <col min="8" max="16384" width="9.140625" style="1233"/>
  </cols>
  <sheetData>
    <row r="1" spans="1:15" s="1097" customFormat="1" ht="18" hidden="1" customHeight="1">
      <c r="A1" s="1096" t="s">
        <v>1537</v>
      </c>
      <c r="B1" s="1118">
        <v>2</v>
      </c>
      <c r="C1" s="1118">
        <v>1</v>
      </c>
      <c r="D1" s="1119">
        <v>13</v>
      </c>
      <c r="E1" s="1182">
        <v>5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15" s="1097" customFormat="1" ht="18" hidden="1" customHeight="1">
      <c r="A2" s="1096" t="str">
        <f>Index!$A$2</f>
        <v>V20181222</v>
      </c>
      <c r="B2" s="1098"/>
      <c r="C2" s="1099"/>
      <c r="D2" s="1100"/>
      <c r="E2" s="1100" t="str">
        <f>$A$1&amp;"_"&amp;E13</f>
        <v>F-44.01_010</v>
      </c>
      <c r="F2" s="1100"/>
      <c r="G2" s="1100"/>
      <c r="H2" s="1100"/>
      <c r="I2" s="1100"/>
      <c r="J2" s="1100"/>
      <c r="K2" s="1100"/>
      <c r="L2" s="1100"/>
      <c r="M2" s="1100"/>
      <c r="N2" s="1101"/>
    </row>
    <row r="3" spans="1:15" s="1097" customFormat="1" ht="18" hidden="1" customHeight="1">
      <c r="A3" s="1096" t="str">
        <f>"R:A1:P"&amp;ROW(A116)+1</f>
        <v>R:A1:P117</v>
      </c>
      <c r="B3" s="1102"/>
      <c r="C3" s="1103"/>
      <c r="D3" s="1104"/>
      <c r="E3" s="1105"/>
      <c r="F3" s="1106"/>
      <c r="G3" s="1107"/>
      <c r="H3" s="1107"/>
      <c r="I3" s="1107"/>
      <c r="J3" s="1107"/>
      <c r="K3" s="1107"/>
    </row>
    <row r="4" spans="1:15" s="1097" customFormat="1" ht="18" hidden="1" customHeight="1">
      <c r="A4" s="1096"/>
      <c r="B4" s="1102"/>
      <c r="C4" s="1103"/>
      <c r="D4" s="1108"/>
      <c r="E4" s="1109"/>
      <c r="F4" s="1110"/>
      <c r="G4" s="1111">
        <f>N5</f>
        <v>0</v>
      </c>
      <c r="H4" s="1107"/>
      <c r="I4" s="1107"/>
      <c r="J4" s="1107"/>
      <c r="K4" s="1107"/>
    </row>
    <row r="5" spans="1:15" s="1097" customFormat="1" ht="18" hidden="1" customHeight="1">
      <c r="A5" s="1096"/>
      <c r="B5" s="1102"/>
      <c r="C5" s="1103"/>
      <c r="D5" s="1112"/>
      <c r="E5" s="1113"/>
      <c r="F5" s="1114"/>
      <c r="N5" s="1097">
        <f>COUNTIF(F10:G25,"&lt;&gt;0")-COUNTBLANK(F10:G25)</f>
        <v>0</v>
      </c>
    </row>
    <row r="6" spans="1:15" s="1116" customFormat="1">
      <c r="A6" s="1100" t="s">
        <v>718</v>
      </c>
      <c r="B6" s="1115"/>
    </row>
    <row r="7" spans="1:15">
      <c r="A7" s="1100" t="s">
        <v>718</v>
      </c>
      <c r="B7" s="1383" t="s">
        <v>1421</v>
      </c>
      <c r="C7" s="91"/>
      <c r="D7" s="1384"/>
      <c r="E7" s="158" t="str">
        <f>IF(SUM($E$14:$E$24)+SUM($E$38:$E$49)+SUM($E$62:$E$63)&lt;&gt;0,"Y","N")</f>
        <v>N</v>
      </c>
      <c r="F7" s="91"/>
      <c r="G7" s="91"/>
    </row>
    <row r="8" spans="1:15">
      <c r="A8" s="1100" t="s">
        <v>718</v>
      </c>
      <c r="B8" s="91"/>
      <c r="C8" s="91"/>
      <c r="D8" s="1384"/>
      <c r="E8" s="91"/>
      <c r="F8" s="91"/>
      <c r="G8" s="91"/>
    </row>
    <row r="9" spans="1:15">
      <c r="A9" s="1100" t="s">
        <v>718</v>
      </c>
      <c r="B9" s="1385" t="s">
        <v>1422</v>
      </c>
      <c r="C9" s="91"/>
      <c r="D9" s="1386"/>
      <c r="E9" s="1385"/>
      <c r="F9" s="1385"/>
      <c r="G9" s="91"/>
    </row>
    <row r="10" spans="1:15">
      <c r="A10" s="1100" t="s">
        <v>718</v>
      </c>
      <c r="B10" s="91"/>
      <c r="C10" s="1387"/>
      <c r="D10" s="1384"/>
      <c r="E10" s="91"/>
      <c r="F10" s="91"/>
      <c r="G10" s="91"/>
    </row>
    <row r="11" spans="1:15">
      <c r="A11" s="1100" t="s">
        <v>718</v>
      </c>
      <c r="B11" s="549"/>
      <c r="C11" s="537"/>
      <c r="D11" s="1992" t="s">
        <v>551</v>
      </c>
      <c r="E11" s="613" t="s">
        <v>1423</v>
      </c>
      <c r="F11" s="91"/>
      <c r="G11" s="91"/>
    </row>
    <row r="12" spans="1:15" ht="21">
      <c r="A12" s="1100"/>
      <c r="B12" s="1539"/>
      <c r="C12" s="538"/>
      <c r="D12" s="1993"/>
      <c r="E12" s="584" t="s">
        <v>2217</v>
      </c>
      <c r="F12" s="91"/>
      <c r="G12" s="91"/>
    </row>
    <row r="13" spans="1:15">
      <c r="A13" s="1100" t="s">
        <v>718</v>
      </c>
      <c r="B13" s="552"/>
      <c r="C13" s="539"/>
      <c r="D13" s="1994"/>
      <c r="E13" s="441" t="s">
        <v>292</v>
      </c>
      <c r="F13" s="91"/>
      <c r="G13" s="91"/>
    </row>
    <row r="14" spans="1:15">
      <c r="A14" s="1156" t="str">
        <f t="shared" ref="A14:A24" si="0">$A$1&amp;"_"&amp;B14</f>
        <v>F-44.01_010</v>
      </c>
      <c r="B14" s="431" t="s">
        <v>292</v>
      </c>
      <c r="C14" s="220" t="s">
        <v>1424</v>
      </c>
      <c r="D14" s="1690" t="s">
        <v>1425</v>
      </c>
      <c r="E14" s="1909"/>
      <c r="F14" s="91"/>
      <c r="G14" s="1090">
        <f>IF($E$14&gt;=0,0,"f44.1&gt;=0")</f>
        <v>0</v>
      </c>
    </row>
    <row r="15" spans="1:15">
      <c r="A15" s="1156" t="str">
        <f t="shared" si="0"/>
        <v>F-44.01_020</v>
      </c>
      <c r="B15" s="431" t="s">
        <v>293</v>
      </c>
      <c r="C15" s="36" t="s">
        <v>1426</v>
      </c>
      <c r="D15" s="119" t="s">
        <v>1427</v>
      </c>
      <c r="E15" s="1877"/>
      <c r="F15" s="1090">
        <f>IF($E$15&lt;=$E$14,0,"r20&lt;=r10")</f>
        <v>0</v>
      </c>
      <c r="G15" s="1090">
        <f>IF($E$15&gt;=0,0,"f44.1&gt;=0")</f>
        <v>0</v>
      </c>
    </row>
    <row r="16" spans="1:15">
      <c r="A16" s="1156" t="str">
        <f t="shared" si="0"/>
        <v>F-44.01_030</v>
      </c>
      <c r="B16" s="431" t="s">
        <v>294</v>
      </c>
      <c r="C16" s="165" t="s">
        <v>59</v>
      </c>
      <c r="D16" s="1690" t="s">
        <v>1428</v>
      </c>
      <c r="E16" s="1877"/>
      <c r="F16" s="91"/>
      <c r="G16" s="1090">
        <f>IF($E$16&gt;=0,0,"f44.1&gt;=0")</f>
        <v>0</v>
      </c>
    </row>
    <row r="17" spans="1:15">
      <c r="A17" s="1156" t="str">
        <f t="shared" si="0"/>
        <v>F-44.01_040</v>
      </c>
      <c r="B17" s="431" t="s">
        <v>295</v>
      </c>
      <c r="C17" s="165" t="s">
        <v>1429</v>
      </c>
      <c r="D17" s="1690" t="s">
        <v>1430</v>
      </c>
      <c r="E17" s="1877"/>
      <c r="F17" s="91"/>
      <c r="G17" s="1090">
        <f>IF($E$17&gt;=0,0,"f44.1&gt;=0")</f>
        <v>0</v>
      </c>
    </row>
    <row r="18" spans="1:15">
      <c r="A18" s="1156" t="str">
        <f t="shared" si="0"/>
        <v>F-44.01_050</v>
      </c>
      <c r="B18" s="431" t="s">
        <v>296</v>
      </c>
      <c r="C18" s="165" t="s">
        <v>1431</v>
      </c>
      <c r="D18" s="1690" t="s">
        <v>1432</v>
      </c>
      <c r="E18" s="1877"/>
      <c r="F18" s="91"/>
      <c r="G18" s="1090">
        <f>IF($E$18&gt;=0,0,"f44.1&gt;=0")</f>
        <v>0</v>
      </c>
    </row>
    <row r="19" spans="1:15">
      <c r="A19" s="1156" t="str">
        <f t="shared" si="0"/>
        <v>F-44.01_060</v>
      </c>
      <c r="B19" s="431" t="s">
        <v>297</v>
      </c>
      <c r="C19" s="165" t="s">
        <v>1433</v>
      </c>
      <c r="D19" s="1388"/>
      <c r="E19" s="1910"/>
      <c r="F19" s="91"/>
      <c r="G19" s="1090">
        <f>IF($E$19&gt;=0,0,"f44.1&gt;=0")</f>
        <v>0</v>
      </c>
    </row>
    <row r="20" spans="1:15">
      <c r="A20" s="1156" t="str">
        <f t="shared" si="0"/>
        <v>F-44.01_070</v>
      </c>
      <c r="B20" s="430" t="s">
        <v>298</v>
      </c>
      <c r="C20" s="219" t="s">
        <v>1434</v>
      </c>
      <c r="D20" s="1690" t="s">
        <v>1435</v>
      </c>
      <c r="E20" s="1877"/>
      <c r="F20" s="91"/>
      <c r="G20" s="1090">
        <f>IF($E$20&gt;=0,0,"f44.1&gt;=0")</f>
        <v>0</v>
      </c>
    </row>
    <row r="21" spans="1:15">
      <c r="A21" s="1156" t="str">
        <f t="shared" si="0"/>
        <v>F-44.01_080</v>
      </c>
      <c r="B21" s="431" t="s">
        <v>299</v>
      </c>
      <c r="C21" s="210" t="s">
        <v>1436</v>
      </c>
      <c r="D21" s="1690" t="s">
        <v>1437</v>
      </c>
      <c r="E21" s="1877"/>
      <c r="F21" s="91"/>
      <c r="G21" s="1090">
        <f>IF($E$21&gt;=0,0,"f44.1&gt;=0")</f>
        <v>0</v>
      </c>
    </row>
    <row r="22" spans="1:15">
      <c r="A22" s="1156" t="str">
        <f t="shared" si="0"/>
        <v>F-44.01_090</v>
      </c>
      <c r="B22" s="481" t="s">
        <v>300</v>
      </c>
      <c r="C22" s="1314" t="s">
        <v>1438</v>
      </c>
      <c r="D22" s="1272" t="s">
        <v>2219</v>
      </c>
      <c r="E22" s="1907"/>
      <c r="F22" s="91"/>
      <c r="G22" s="1090">
        <f>IF($E$22&gt;=0,0,"f44.1&gt;=0")</f>
        <v>0</v>
      </c>
    </row>
    <row r="23" spans="1:15" ht="21">
      <c r="A23" s="1156" t="str">
        <f t="shared" si="0"/>
        <v>F-44.01_100</v>
      </c>
      <c r="B23" s="432" t="s">
        <v>301</v>
      </c>
      <c r="C23" s="176" t="s">
        <v>1439</v>
      </c>
      <c r="D23" s="1389" t="s">
        <v>2220</v>
      </c>
      <c r="E23" s="1911"/>
      <c r="F23" s="1390"/>
      <c r="G23" s="1090">
        <f>IF($E$23&gt;=0,0,"f44.1&gt;=0")</f>
        <v>0</v>
      </c>
    </row>
    <row r="24" spans="1:15">
      <c r="A24" s="1156" t="str">
        <f t="shared" si="0"/>
        <v>F-44.01_110</v>
      </c>
      <c r="B24" s="432" t="s">
        <v>302</v>
      </c>
      <c r="C24" s="213" t="s">
        <v>1440</v>
      </c>
      <c r="D24" s="278" t="s">
        <v>1441</v>
      </c>
      <c r="E24" s="1912"/>
      <c r="F24" s="91"/>
      <c r="G24" s="1090">
        <f>IF($E$24&gt;=0,0,"f44.1&gt;=0")</f>
        <v>0</v>
      </c>
    </row>
    <row r="25" spans="1:15">
      <c r="A25" s="1100" t="s">
        <v>718</v>
      </c>
      <c r="B25" s="1391"/>
      <c r="C25" s="1391"/>
      <c r="D25" s="1391"/>
      <c r="E25" s="1391"/>
      <c r="F25" s="91"/>
      <c r="G25" s="91"/>
    </row>
    <row r="26" spans="1:15">
      <c r="A26" s="1156" t="s">
        <v>724</v>
      </c>
      <c r="B26" s="1391"/>
      <c r="C26" s="1391"/>
      <c r="D26" s="1391"/>
      <c r="E26" s="1391"/>
      <c r="F26" s="91"/>
      <c r="G26" s="91"/>
    </row>
    <row r="27" spans="1:15" s="1097" customFormat="1" ht="18" hidden="1" customHeight="1">
      <c r="A27" s="1096" t="s">
        <v>1538</v>
      </c>
      <c r="B27" s="1118">
        <v>2</v>
      </c>
      <c r="C27" s="1118">
        <v>1</v>
      </c>
      <c r="D27" s="1119">
        <v>11</v>
      </c>
      <c r="E27" s="1182">
        <v>5</v>
      </c>
      <c r="F27" s="1120">
        <v>3</v>
      </c>
      <c r="G27" s="1121">
        <v>4</v>
      </c>
      <c r="H27" s="1122">
        <v>4</v>
      </c>
      <c r="I27" s="1122">
        <v>4</v>
      </c>
      <c r="J27" s="1123">
        <v>4</v>
      </c>
      <c r="K27" s="1123">
        <v>5</v>
      </c>
      <c r="L27" s="1124">
        <v>4</v>
      </c>
      <c r="M27" s="1124">
        <v>6</v>
      </c>
      <c r="N27" s="1125">
        <v>4</v>
      </c>
      <c r="O27" s="1125">
        <v>7</v>
      </c>
    </row>
    <row r="28" spans="1:15" s="1097" customFormat="1" ht="18" hidden="1" customHeight="1">
      <c r="A28" s="1096" t="str">
        <f>Index!$A$2</f>
        <v>V20181222</v>
      </c>
      <c r="B28" s="1098"/>
      <c r="C28" s="1099"/>
      <c r="D28" s="1100"/>
      <c r="E28" s="1100" t="str">
        <f>$A$27&amp;"_"&amp;E37</f>
        <v>F-44.02_010</v>
      </c>
      <c r="F28" s="1100"/>
      <c r="G28" s="1100"/>
      <c r="H28" s="1100"/>
      <c r="I28" s="1100"/>
      <c r="J28" s="1100"/>
      <c r="K28" s="1100"/>
      <c r="L28" s="1100"/>
      <c r="M28" s="1100"/>
      <c r="N28" s="1101"/>
    </row>
    <row r="29" spans="1:15" s="1097" customFormat="1" ht="18" hidden="1" customHeight="1">
      <c r="A29" s="1096" t="str">
        <f>"R:A1:P"&amp;ROW(A82)+1</f>
        <v>R:A1:P83</v>
      </c>
      <c r="B29" s="1102"/>
      <c r="C29" s="1103"/>
      <c r="D29" s="1104"/>
      <c r="E29" s="1105"/>
      <c r="F29" s="1106"/>
      <c r="G29" s="1107"/>
      <c r="H29" s="1107"/>
      <c r="I29" s="1107"/>
      <c r="J29" s="1107"/>
      <c r="K29" s="1107"/>
    </row>
    <row r="30" spans="1:15" s="1097" customFormat="1" ht="18" hidden="1" customHeight="1">
      <c r="A30" s="1100" t="s">
        <v>718</v>
      </c>
      <c r="B30" s="1102"/>
      <c r="C30" s="1103"/>
      <c r="D30" s="1108"/>
      <c r="E30" s="1109"/>
      <c r="F30" s="1110"/>
      <c r="G30" s="1111">
        <f>N31</f>
        <v>0</v>
      </c>
      <c r="H30" s="1107"/>
      <c r="I30" s="1107"/>
      <c r="J30" s="1107"/>
      <c r="K30" s="1107"/>
    </row>
    <row r="31" spans="1:15" s="1097" customFormat="1" ht="18" hidden="1" customHeight="1">
      <c r="A31" s="1100" t="s">
        <v>718</v>
      </c>
      <c r="B31" s="1102"/>
      <c r="C31" s="1103"/>
      <c r="D31" s="1112"/>
      <c r="E31" s="1113"/>
      <c r="F31" s="1114"/>
      <c r="N31" s="1097">
        <f>COUNTIF(F37:G51,"&lt;&gt;0")-COUNTBLANK(F37:G51)</f>
        <v>0</v>
      </c>
    </row>
    <row r="32" spans="1:15" s="1116" customFormat="1">
      <c r="A32" s="1100" t="s">
        <v>718</v>
      </c>
      <c r="B32" s="1115"/>
    </row>
    <row r="33" spans="1:7">
      <c r="A33" s="1100" t="s">
        <v>718</v>
      </c>
      <c r="B33" s="1385" t="s">
        <v>1442</v>
      </c>
      <c r="C33" s="91"/>
      <c r="D33" s="1392"/>
      <c r="E33" s="1385"/>
      <c r="F33" s="1385"/>
      <c r="G33" s="91"/>
    </row>
    <row r="34" spans="1:7">
      <c r="A34" s="1100" t="s">
        <v>718</v>
      </c>
      <c r="B34" s="91"/>
      <c r="C34" s="113"/>
      <c r="D34" s="1393"/>
      <c r="E34" s="113"/>
      <c r="F34" s="91"/>
      <c r="G34" s="91"/>
    </row>
    <row r="35" spans="1:7" ht="31.5">
      <c r="A35" s="1100" t="s">
        <v>718</v>
      </c>
      <c r="B35" s="549"/>
      <c r="C35" s="537"/>
      <c r="D35" s="1992" t="s">
        <v>551</v>
      </c>
      <c r="E35" s="613" t="s">
        <v>1443</v>
      </c>
      <c r="F35" s="91"/>
      <c r="G35" s="91"/>
    </row>
    <row r="36" spans="1:7" ht="21">
      <c r="A36" s="1100"/>
      <c r="B36" s="1539"/>
      <c r="C36" s="538"/>
      <c r="D36" s="1993"/>
      <c r="E36" s="1504" t="s">
        <v>2218</v>
      </c>
      <c r="F36" s="91"/>
      <c r="G36" s="91"/>
    </row>
    <row r="37" spans="1:7">
      <c r="A37" s="1100" t="s">
        <v>718</v>
      </c>
      <c r="B37" s="552"/>
      <c r="C37" s="539"/>
      <c r="D37" s="1994"/>
      <c r="E37" s="418" t="s">
        <v>292</v>
      </c>
      <c r="F37" s="91"/>
      <c r="G37" s="91"/>
    </row>
    <row r="38" spans="1:7">
      <c r="A38" s="1156" t="str">
        <f>$A$27&amp;"_"&amp;B38</f>
        <v>F-44.02_010</v>
      </c>
      <c r="B38" s="430" t="s">
        <v>292</v>
      </c>
      <c r="C38" s="1394" t="s">
        <v>1444</v>
      </c>
      <c r="D38" s="1311" t="s">
        <v>1435</v>
      </c>
      <c r="E38" s="1914"/>
      <c r="F38" s="91"/>
      <c r="G38" s="1090"/>
    </row>
    <row r="39" spans="1:7">
      <c r="A39" s="1156" t="str">
        <f t="shared" ref="A39:A49" si="1">$A$27&amp;"_"&amp;B39</f>
        <v>F-44.02_020</v>
      </c>
      <c r="B39" s="431" t="s">
        <v>293</v>
      </c>
      <c r="C39" s="165" t="s">
        <v>1445</v>
      </c>
      <c r="D39" s="119" t="s">
        <v>1446</v>
      </c>
      <c r="E39" s="1877"/>
      <c r="F39" s="91"/>
      <c r="G39" s="1090"/>
    </row>
    <row r="40" spans="1:7">
      <c r="A40" s="1156" t="str">
        <f t="shared" si="1"/>
        <v>F-44.02_030</v>
      </c>
      <c r="B40" s="431" t="s">
        <v>294</v>
      </c>
      <c r="C40" s="165" t="s">
        <v>1447</v>
      </c>
      <c r="D40" s="119" t="s">
        <v>1448</v>
      </c>
      <c r="E40" s="1877"/>
      <c r="F40" s="91"/>
      <c r="G40" s="1090"/>
    </row>
    <row r="41" spans="1:7">
      <c r="A41" s="1156" t="str">
        <f t="shared" si="1"/>
        <v>F-44.02_040</v>
      </c>
      <c r="B41" s="431" t="s">
        <v>295</v>
      </c>
      <c r="C41" s="122" t="s">
        <v>1449</v>
      </c>
      <c r="D41" s="119" t="s">
        <v>1450</v>
      </c>
      <c r="E41" s="1877"/>
      <c r="F41" s="91"/>
      <c r="G41" s="1090"/>
    </row>
    <row r="42" spans="1:7">
      <c r="A42" s="1156" t="str">
        <f t="shared" si="1"/>
        <v>F-44.02_050</v>
      </c>
      <c r="B42" s="431" t="s">
        <v>296</v>
      </c>
      <c r="C42" s="122" t="s">
        <v>1451</v>
      </c>
      <c r="D42" s="119" t="s">
        <v>1452</v>
      </c>
      <c r="E42" s="1877"/>
      <c r="F42" s="91"/>
      <c r="G42" s="1090"/>
    </row>
    <row r="43" spans="1:7">
      <c r="A43" s="1156" t="str">
        <f t="shared" si="1"/>
        <v>F-44.02_060</v>
      </c>
      <c r="B43" s="431" t="s">
        <v>297</v>
      </c>
      <c r="C43" s="122" t="s">
        <v>1453</v>
      </c>
      <c r="D43" s="119" t="s">
        <v>1454</v>
      </c>
      <c r="E43" s="1877"/>
      <c r="F43" s="91"/>
      <c r="G43" s="1090"/>
    </row>
    <row r="44" spans="1:7">
      <c r="A44" s="1156" t="str">
        <f t="shared" si="1"/>
        <v>F-44.02_070</v>
      </c>
      <c r="B44" s="431" t="s">
        <v>298</v>
      </c>
      <c r="C44" s="122" t="s">
        <v>1455</v>
      </c>
      <c r="D44" s="119" t="s">
        <v>2221</v>
      </c>
      <c r="E44" s="1877"/>
      <c r="F44" s="91"/>
      <c r="G44" s="1090"/>
    </row>
    <row r="45" spans="1:7">
      <c r="A45" s="1156" t="str">
        <f t="shared" si="1"/>
        <v>F-44.02_080</v>
      </c>
      <c r="B45" s="431" t="s">
        <v>299</v>
      </c>
      <c r="C45" s="122" t="s">
        <v>1456</v>
      </c>
      <c r="D45" s="119" t="s">
        <v>1457</v>
      </c>
      <c r="E45" s="1877"/>
      <c r="F45" s="91"/>
      <c r="G45" s="1090">
        <f>IF($E$45&lt;=0,0,"f44.2,r080&lt;=0")</f>
        <v>0</v>
      </c>
    </row>
    <row r="46" spans="1:7">
      <c r="A46" s="1156" t="str">
        <f t="shared" si="1"/>
        <v>F-44.02_090</v>
      </c>
      <c r="B46" s="430" t="s">
        <v>300</v>
      </c>
      <c r="C46" s="165" t="s">
        <v>1458</v>
      </c>
      <c r="D46" s="119" t="s">
        <v>1459</v>
      </c>
      <c r="E46" s="1877"/>
      <c r="F46" s="91"/>
      <c r="G46" s="1090"/>
    </row>
    <row r="47" spans="1:7">
      <c r="A47" s="1156" t="str">
        <f t="shared" si="1"/>
        <v>F-44.02_100</v>
      </c>
      <c r="B47" s="431" t="s">
        <v>301</v>
      </c>
      <c r="C47" s="165" t="s">
        <v>1460</v>
      </c>
      <c r="D47" s="119" t="s">
        <v>1461</v>
      </c>
      <c r="E47" s="1877"/>
      <c r="F47" s="91"/>
      <c r="G47" s="1090"/>
    </row>
    <row r="48" spans="1:7">
      <c r="A48" s="1156" t="str">
        <f t="shared" si="1"/>
        <v>F-44.02_110</v>
      </c>
      <c r="B48" s="431" t="s">
        <v>302</v>
      </c>
      <c r="C48" s="165" t="s">
        <v>1462</v>
      </c>
      <c r="D48" s="1395"/>
      <c r="E48" s="1877"/>
      <c r="F48" s="91"/>
      <c r="G48" s="1090"/>
    </row>
    <row r="49" spans="1:15" ht="21">
      <c r="A49" s="1156" t="str">
        <f t="shared" si="1"/>
        <v>F-44.02_120</v>
      </c>
      <c r="B49" s="482">
        <v>120</v>
      </c>
      <c r="C49" s="1396" t="s">
        <v>1463</v>
      </c>
      <c r="D49" s="1299" t="s">
        <v>2222</v>
      </c>
      <c r="E49" s="1913"/>
      <c r="F49" s="1390">
        <f>IF($E$49=$E$20,0,"f44.2,r120,c10=f44.1,r70,c10")</f>
        <v>0</v>
      </c>
      <c r="G49" s="1090"/>
    </row>
    <row r="50" spans="1:15">
      <c r="A50" s="1100" t="s">
        <v>718</v>
      </c>
      <c r="B50" s="91"/>
      <c r="C50" s="91"/>
      <c r="D50" s="91"/>
      <c r="E50" s="91"/>
      <c r="F50" s="91"/>
      <c r="G50" s="91"/>
    </row>
    <row r="51" spans="1:15">
      <c r="A51" s="1156" t="s">
        <v>724</v>
      </c>
      <c r="B51" s="91"/>
      <c r="C51" s="91"/>
      <c r="D51" s="91"/>
      <c r="E51" s="91"/>
      <c r="F51" s="91"/>
      <c r="G51" s="91"/>
    </row>
    <row r="52" spans="1:15" s="1097" customFormat="1" ht="18" hidden="1" customHeight="1">
      <c r="A52" s="1096" t="s">
        <v>1539</v>
      </c>
      <c r="B52" s="1118">
        <v>2</v>
      </c>
      <c r="C52" s="1118">
        <v>1</v>
      </c>
      <c r="D52" s="1119">
        <v>11</v>
      </c>
      <c r="E52" s="1182">
        <v>5</v>
      </c>
      <c r="F52" s="1120">
        <v>3</v>
      </c>
      <c r="G52" s="1121">
        <v>4</v>
      </c>
      <c r="H52" s="1122">
        <v>4</v>
      </c>
      <c r="I52" s="1122">
        <v>4</v>
      </c>
      <c r="J52" s="1123">
        <v>4</v>
      </c>
      <c r="K52" s="1123">
        <v>5</v>
      </c>
      <c r="L52" s="1124">
        <v>4</v>
      </c>
      <c r="M52" s="1124">
        <v>6</v>
      </c>
      <c r="N52" s="1125">
        <v>4</v>
      </c>
      <c r="O52" s="1125">
        <v>7</v>
      </c>
    </row>
    <row r="53" spans="1:15" s="1097" customFormat="1" ht="18" hidden="1" customHeight="1">
      <c r="A53" s="1096" t="str">
        <f>Index!$A$2</f>
        <v>V20181222</v>
      </c>
      <c r="B53" s="1098"/>
      <c r="C53" s="1099"/>
      <c r="D53" s="1100"/>
      <c r="E53" s="1100" t="str">
        <f>$A$52&amp;"_"&amp;E61</f>
        <v>F-44.03_010</v>
      </c>
      <c r="F53" s="1100"/>
      <c r="G53" s="1100"/>
      <c r="H53" s="1100"/>
      <c r="I53" s="1100"/>
      <c r="J53" s="1100"/>
      <c r="K53" s="1100"/>
      <c r="L53" s="1100"/>
      <c r="M53" s="1100"/>
      <c r="N53" s="1101"/>
    </row>
    <row r="54" spans="1:15" s="1097" customFormat="1" ht="18" hidden="1" customHeight="1">
      <c r="A54" s="1096" t="str">
        <f>"R:A1:P"&amp;ROW(A106)+1</f>
        <v>R:A1:P107</v>
      </c>
      <c r="B54" s="1102"/>
      <c r="C54" s="1103"/>
      <c r="D54" s="1104"/>
      <c r="E54" s="1105"/>
      <c r="F54" s="1106"/>
      <c r="G54" s="1107"/>
      <c r="H54" s="1107"/>
      <c r="I54" s="1107"/>
      <c r="J54" s="1107"/>
      <c r="K54" s="1107"/>
    </row>
    <row r="55" spans="1:15" s="1097" customFormat="1" ht="18" hidden="1" customHeight="1">
      <c r="A55" s="1100" t="s">
        <v>718</v>
      </c>
      <c r="B55" s="1102"/>
      <c r="C55" s="1103"/>
      <c r="D55" s="1108"/>
      <c r="E55" s="1109"/>
      <c r="F55" s="1110"/>
      <c r="G55" s="1111">
        <f>N56</f>
        <v>0</v>
      </c>
      <c r="H55" s="1107"/>
      <c r="I55" s="1107"/>
      <c r="J55" s="1107"/>
      <c r="K55" s="1107"/>
    </row>
    <row r="56" spans="1:15" s="1097" customFormat="1" ht="18" hidden="1" customHeight="1">
      <c r="A56" s="1100" t="s">
        <v>718</v>
      </c>
      <c r="B56" s="1102"/>
      <c r="C56" s="1103"/>
      <c r="D56" s="1112"/>
      <c r="E56" s="1113"/>
      <c r="F56" s="1114"/>
      <c r="N56" s="1097">
        <f>COUNTIF(F61:G64,"&lt;&gt;0")-COUNTBLANK(F61:G64)+COUNTIF(E64:E64,"&lt;&gt;0")-COUNTBLANK(E64:E64)</f>
        <v>0</v>
      </c>
    </row>
    <row r="57" spans="1:15" s="1116" customFormat="1">
      <c r="A57" s="1100" t="s">
        <v>718</v>
      </c>
      <c r="B57" s="1115"/>
    </row>
    <row r="58" spans="1:15">
      <c r="A58" s="1100" t="s">
        <v>718</v>
      </c>
      <c r="B58" s="1385" t="s">
        <v>1464</v>
      </c>
      <c r="C58" s="91"/>
      <c r="D58" s="1392"/>
      <c r="E58" s="1385"/>
      <c r="F58" s="1385"/>
      <c r="G58" s="91"/>
    </row>
    <row r="59" spans="1:15">
      <c r="A59" s="1100" t="s">
        <v>718</v>
      </c>
      <c r="B59" s="91"/>
      <c r="C59" s="113"/>
      <c r="D59" s="1393"/>
      <c r="E59" s="113"/>
      <c r="F59" s="91"/>
      <c r="G59" s="91"/>
    </row>
    <row r="60" spans="1:15" ht="21">
      <c r="A60" s="1100" t="s">
        <v>718</v>
      </c>
      <c r="B60" s="549"/>
      <c r="C60" s="537"/>
      <c r="D60" s="994" t="s">
        <v>551</v>
      </c>
      <c r="E60" s="613" t="s">
        <v>54</v>
      </c>
      <c r="F60" s="91"/>
      <c r="G60" s="91"/>
    </row>
    <row r="61" spans="1:15">
      <c r="A61" s="1100" t="s">
        <v>718</v>
      </c>
      <c r="B61" s="552"/>
      <c r="C61" s="539"/>
      <c r="D61" s="554"/>
      <c r="E61" s="418" t="s">
        <v>292</v>
      </c>
      <c r="F61" s="91"/>
      <c r="G61" s="91"/>
    </row>
    <row r="62" spans="1:15">
      <c r="A62" s="1156" t="str">
        <f>$A$52&amp;"_"&amp;B62</f>
        <v>F-44.03_010</v>
      </c>
      <c r="B62" s="430" t="s">
        <v>292</v>
      </c>
      <c r="C62" s="1310" t="s">
        <v>1465</v>
      </c>
      <c r="D62" s="1291" t="s">
        <v>2223</v>
      </c>
      <c r="E62" s="1915"/>
      <c r="F62" s="91"/>
      <c r="G62" s="1090">
        <f>IF($E$62&gt;=0,0,"f44.03&gt;=0")</f>
        <v>0</v>
      </c>
    </row>
    <row r="63" spans="1:15">
      <c r="A63" s="1156" t="str">
        <f>$A$52&amp;"_"&amp;B63</f>
        <v>F-44.03_020</v>
      </c>
      <c r="B63" s="482" t="s">
        <v>293</v>
      </c>
      <c r="C63" s="1397" t="s">
        <v>1466</v>
      </c>
      <c r="D63" s="1299" t="s">
        <v>2224</v>
      </c>
      <c r="E63" s="1916"/>
      <c r="F63" s="91"/>
      <c r="G63" s="1090">
        <f>IF($E$63&gt;=0,0,"f44.03&gt;=0")</f>
        <v>0</v>
      </c>
    </row>
    <row r="64" spans="1:15">
      <c r="A64" s="1100" t="s">
        <v>718</v>
      </c>
      <c r="B64" s="91"/>
      <c r="C64" s="1398"/>
      <c r="D64" s="1384"/>
      <c r="E64" s="1090"/>
      <c r="F64" s="91"/>
      <c r="G64" s="1090"/>
    </row>
    <row r="65" spans="1:5">
      <c r="A65" s="1156" t="s">
        <v>724</v>
      </c>
      <c r="E65" s="1090"/>
    </row>
  </sheetData>
  <sheetProtection password="C2F4" sheet="1" objects="1" scenarios="1"/>
  <mergeCells count="2">
    <mergeCell ref="D11:D13"/>
    <mergeCell ref="D35:D37"/>
  </mergeCells>
  <dataValidations count="3">
    <dataValidation type="whole" allowBlank="1" showInputMessage="1" showErrorMessage="1" error="wrong number format or sign" sqref="E45">
      <formula1>-99999999</formula1>
      <formula2>0</formula2>
    </dataValidation>
    <dataValidation type="whole" allowBlank="1" showInputMessage="1" showErrorMessage="1" error="wrong number format or sign" sqref="F32 E49 E14:E24 E62:E63">
      <formula1>0</formula1>
      <formula2>99999999</formula2>
    </dataValidation>
    <dataValidation type="whole" allowBlank="1" showInputMessage="1" showErrorMessage="1" error="wrong number format or sign" sqref="E46:E48 E38:E44">
      <formula1>-99999999</formula1>
      <formula2>99999999</formula2>
    </dataValidation>
  </dataValidations>
  <printOptions headings="1" gridLines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0" tint="-0.499984740745262"/>
    <pageSetUpPr fitToPage="1"/>
  </sheetPr>
  <dimension ref="A1:O54"/>
  <sheetViews>
    <sheetView topLeftCell="B6" workbookViewId="0">
      <selection activeCell="B6" sqref="B6"/>
    </sheetView>
  </sheetViews>
  <sheetFormatPr defaultColWidth="9.140625" defaultRowHeight="12.75"/>
  <cols>
    <col min="1" max="1" width="13.5703125" style="1156" hidden="1" customWidth="1"/>
    <col min="2" max="2" width="4.42578125" style="1233" customWidth="1"/>
    <col min="3" max="3" width="76.28515625" style="1233" customWidth="1"/>
    <col min="4" max="4" width="33.28515625" style="1233" customWidth="1"/>
    <col min="5" max="5" width="15" style="1233" customWidth="1"/>
    <col min="6" max="6" width="15.5703125" style="1233" customWidth="1"/>
    <col min="7" max="7" width="12.7109375" style="1233" customWidth="1"/>
    <col min="8" max="8" width="12" style="1233" bestFit="1" customWidth="1"/>
    <col min="9" max="16384" width="9.140625" style="1233"/>
  </cols>
  <sheetData>
    <row r="1" spans="1:15" s="1097" customFormat="1" ht="18" hidden="1" customHeight="1">
      <c r="A1" s="1096" t="s">
        <v>1541</v>
      </c>
      <c r="B1" s="1118">
        <v>2</v>
      </c>
      <c r="C1" s="1118">
        <v>1</v>
      </c>
      <c r="D1" s="1119">
        <v>13</v>
      </c>
      <c r="E1" s="1182">
        <v>5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15" s="1097" customFormat="1" ht="18" hidden="1" customHeight="1">
      <c r="A2" s="1096" t="str">
        <f>Index!$A$2</f>
        <v>V20181222</v>
      </c>
      <c r="B2" s="1098"/>
      <c r="C2" s="1099"/>
      <c r="D2" s="1100"/>
      <c r="E2" s="1100" t="str">
        <f>$A$1&amp;"_"&amp;E13</f>
        <v>F-45.01_010</v>
      </c>
      <c r="F2" s="1100" t="str">
        <f>$A$1&amp;"_"&amp;F13</f>
        <v>F-45.01_020</v>
      </c>
      <c r="G2" s="1100"/>
      <c r="H2" s="1100"/>
      <c r="I2" s="1100"/>
      <c r="J2" s="1100"/>
      <c r="K2" s="1100"/>
      <c r="L2" s="1100"/>
      <c r="M2" s="1100"/>
      <c r="N2" s="1101"/>
    </row>
    <row r="3" spans="1:15" s="1097" customFormat="1" ht="18" hidden="1" customHeight="1">
      <c r="A3" s="1096" t="str">
        <f>"R:A1:P"&amp;ROW(A57)+1</f>
        <v>R:A1:P58</v>
      </c>
      <c r="B3" s="1102"/>
      <c r="C3" s="1103"/>
      <c r="D3" s="1104"/>
      <c r="E3" s="1105"/>
      <c r="F3" s="1106"/>
      <c r="G3" s="1107"/>
      <c r="H3" s="1107"/>
      <c r="I3" s="1107"/>
      <c r="J3" s="1107"/>
      <c r="K3" s="1107"/>
    </row>
    <row r="4" spans="1:15" s="1097" customFormat="1" ht="18" hidden="1" customHeight="1">
      <c r="A4" s="1096"/>
      <c r="B4" s="1102"/>
      <c r="C4" s="1103"/>
      <c r="D4" s="1108"/>
      <c r="E4" s="1109"/>
      <c r="F4" s="1110"/>
      <c r="G4" s="1111">
        <f>N5</f>
        <v>0</v>
      </c>
      <c r="H4" s="1107"/>
      <c r="I4" s="1107"/>
      <c r="J4" s="1107"/>
      <c r="K4" s="1107"/>
    </row>
    <row r="5" spans="1:15" s="1097" customFormat="1" ht="18" hidden="1" customHeight="1">
      <c r="A5" s="1096"/>
      <c r="B5" s="1102"/>
      <c r="C5" s="1103"/>
      <c r="D5" s="1112"/>
      <c r="E5" s="1113"/>
      <c r="F5" s="1114"/>
      <c r="N5" s="1097">
        <f>COUNTIF(E17:F18,"&lt;&gt;0")-COUNTBLANK(E17:F18)</f>
        <v>0</v>
      </c>
    </row>
    <row r="6" spans="1:15" s="1116" customFormat="1">
      <c r="A6" s="1100" t="s">
        <v>718</v>
      </c>
      <c r="B6" s="1115"/>
    </row>
    <row r="7" spans="1:15">
      <c r="A7" s="1100" t="s">
        <v>718</v>
      </c>
      <c r="B7" s="129" t="s">
        <v>1467</v>
      </c>
      <c r="C7" s="130"/>
      <c r="D7" s="1306"/>
      <c r="E7" s="158" t="str">
        <f>IF(SUM($E$14:$F$16)+SUM($E$30:$E$33)+SUM($E$46:$F$50)&lt;&gt;0,"Y","N")</f>
        <v>N</v>
      </c>
      <c r="F7" s="130"/>
      <c r="G7" s="130"/>
      <c r="H7" s="130"/>
    </row>
    <row r="8" spans="1:15">
      <c r="A8" s="1100" t="s">
        <v>718</v>
      </c>
      <c r="B8" s="112"/>
      <c r="C8" s="130"/>
      <c r="D8" s="1306"/>
      <c r="E8" s="130"/>
      <c r="F8" s="130"/>
      <c r="G8" s="130"/>
      <c r="H8" s="130"/>
    </row>
    <row r="9" spans="1:15">
      <c r="A9" s="1100" t="s">
        <v>718</v>
      </c>
      <c r="B9" s="143" t="s">
        <v>1468</v>
      </c>
      <c r="C9" s="130"/>
      <c r="D9" s="1399"/>
      <c r="E9" s="143"/>
      <c r="F9" s="143"/>
      <c r="G9" s="130"/>
      <c r="H9" s="130"/>
    </row>
    <row r="10" spans="1:15">
      <c r="A10" s="1100" t="s">
        <v>718</v>
      </c>
      <c r="B10" s="130"/>
      <c r="C10" s="112"/>
      <c r="D10" s="107"/>
      <c r="E10" s="112"/>
      <c r="F10" s="112"/>
      <c r="G10" s="130"/>
      <c r="H10" s="130"/>
    </row>
    <row r="11" spans="1:15" ht="31.5">
      <c r="A11" s="1100" t="s">
        <v>718</v>
      </c>
      <c r="B11" s="524"/>
      <c r="C11" s="537"/>
      <c r="D11" s="1992" t="s">
        <v>551</v>
      </c>
      <c r="E11" s="613" t="s">
        <v>54</v>
      </c>
      <c r="F11" s="1400" t="s">
        <v>1469</v>
      </c>
      <c r="G11" s="130"/>
      <c r="H11" s="130"/>
    </row>
    <row r="12" spans="1:15" ht="21">
      <c r="A12" s="1100"/>
      <c r="B12" s="527"/>
      <c r="C12" s="538"/>
      <c r="D12" s="1993"/>
      <c r="E12" s="1649"/>
      <c r="F12" s="507" t="s">
        <v>2225</v>
      </c>
      <c r="G12" s="130"/>
      <c r="H12" s="130"/>
    </row>
    <row r="13" spans="1:15">
      <c r="A13" s="1100" t="s">
        <v>718</v>
      </c>
      <c r="B13" s="530"/>
      <c r="C13" s="539"/>
      <c r="D13" s="1994"/>
      <c r="E13" s="418" t="s">
        <v>292</v>
      </c>
      <c r="F13" s="418" t="s">
        <v>293</v>
      </c>
      <c r="G13" s="130"/>
      <c r="H13" s="130"/>
    </row>
    <row r="14" spans="1:15">
      <c r="A14" s="1156" t="str">
        <f>$A$1&amp;"_"&amp;B14</f>
        <v>F-45.01_010</v>
      </c>
      <c r="B14" s="430" t="s">
        <v>292</v>
      </c>
      <c r="C14" s="192" t="s">
        <v>216</v>
      </c>
      <c r="D14" s="89" t="s">
        <v>1557</v>
      </c>
      <c r="E14" s="1918"/>
      <c r="F14" s="1917"/>
      <c r="G14" s="130"/>
      <c r="H14" s="130"/>
    </row>
    <row r="15" spans="1:15">
      <c r="A15" s="1156" t="str">
        <f>$A$1&amp;"_"&amp;B15</f>
        <v>F-45.01_020</v>
      </c>
      <c r="B15" s="481" t="s">
        <v>293</v>
      </c>
      <c r="C15" s="240" t="s">
        <v>173</v>
      </c>
      <c r="D15" s="1401" t="s">
        <v>1558</v>
      </c>
      <c r="E15" s="1919"/>
      <c r="F15" s="1919"/>
      <c r="G15" s="130"/>
      <c r="H15" s="130"/>
    </row>
    <row r="16" spans="1:15" ht="21">
      <c r="A16" s="1156" t="str">
        <f>$A$1&amp;"_"&amp;B16</f>
        <v>F-45.01_030</v>
      </c>
      <c r="B16" s="432" t="s">
        <v>294</v>
      </c>
      <c r="C16" s="97" t="s">
        <v>1551</v>
      </c>
      <c r="D16" s="337" t="s">
        <v>519</v>
      </c>
      <c r="E16" s="1920"/>
      <c r="F16" s="1402"/>
      <c r="G16" s="130"/>
      <c r="H16" s="130"/>
    </row>
    <row r="17" spans="1:15">
      <c r="A17" s="1100" t="s">
        <v>718</v>
      </c>
      <c r="B17" s="1403"/>
      <c r="C17" s="1403"/>
      <c r="D17" s="1403"/>
      <c r="E17" s="1404"/>
      <c r="F17" s="1404"/>
      <c r="G17" s="130"/>
      <c r="H17" s="130"/>
    </row>
    <row r="18" spans="1:15">
      <c r="A18" s="1156" t="s">
        <v>724</v>
      </c>
      <c r="B18" s="1403"/>
      <c r="C18" s="1403"/>
      <c r="D18" s="1403"/>
      <c r="E18" s="139"/>
      <c r="F18" s="139"/>
      <c r="G18" s="130"/>
      <c r="H18" s="130"/>
    </row>
    <row r="19" spans="1:15" s="1097" customFormat="1" ht="18" hidden="1" customHeight="1">
      <c r="A19" s="1096" t="s">
        <v>1542</v>
      </c>
      <c r="B19" s="1118">
        <v>2</v>
      </c>
      <c r="C19" s="1118">
        <v>1</v>
      </c>
      <c r="D19" s="1119">
        <v>11</v>
      </c>
      <c r="E19" s="1182">
        <v>5</v>
      </c>
      <c r="F19" s="1120">
        <v>3</v>
      </c>
      <c r="G19" s="1121">
        <v>4</v>
      </c>
      <c r="H19" s="1122">
        <v>4</v>
      </c>
      <c r="I19" s="1122">
        <v>4</v>
      </c>
      <c r="J19" s="1123">
        <v>4</v>
      </c>
      <c r="K19" s="1123">
        <v>5</v>
      </c>
      <c r="L19" s="1124">
        <v>4</v>
      </c>
      <c r="M19" s="1124">
        <v>6</v>
      </c>
      <c r="N19" s="1125">
        <v>4</v>
      </c>
      <c r="O19" s="1125">
        <v>7</v>
      </c>
    </row>
    <row r="20" spans="1:15" s="1097" customFormat="1" ht="18" hidden="1" customHeight="1">
      <c r="A20" s="1096" t="str">
        <f>Index!$A$2</f>
        <v>V20181222</v>
      </c>
      <c r="B20" s="1098"/>
      <c r="C20" s="1099"/>
      <c r="D20" s="1100"/>
      <c r="E20" s="1100" t="str">
        <f>$A$19&amp;"_"&amp;E29</f>
        <v>F-45.02_010</v>
      </c>
      <c r="F20" s="1100"/>
      <c r="G20" s="1100"/>
      <c r="H20" s="1100"/>
      <c r="I20" s="1100"/>
      <c r="J20" s="1100"/>
      <c r="K20" s="1100"/>
      <c r="L20" s="1100"/>
      <c r="M20" s="1100"/>
      <c r="N20" s="1101"/>
    </row>
    <row r="21" spans="1:15" s="1097" customFormat="1" ht="18" hidden="1" customHeight="1">
      <c r="A21" s="1096" t="str">
        <f>"R:A1:P"&amp;ROW(A69)+1</f>
        <v>R:A1:P70</v>
      </c>
      <c r="B21" s="1102"/>
      <c r="C21" s="1103"/>
      <c r="D21" s="1104"/>
      <c r="E21" s="1105"/>
      <c r="F21" s="1106"/>
      <c r="G21" s="1107"/>
      <c r="H21" s="1107"/>
      <c r="I21" s="1107"/>
      <c r="J21" s="1107"/>
      <c r="K21" s="1107"/>
    </row>
    <row r="22" spans="1:15" s="1097" customFormat="1" ht="18" hidden="1" customHeight="1">
      <c r="A22" s="1100" t="s">
        <v>718</v>
      </c>
      <c r="B22" s="1102"/>
      <c r="C22" s="1103"/>
      <c r="D22" s="1108"/>
      <c r="E22" s="1109"/>
      <c r="F22" s="1110"/>
      <c r="G22" s="1111">
        <f>N23</f>
        <v>0</v>
      </c>
      <c r="H22" s="1107"/>
      <c r="I22" s="1107"/>
      <c r="J22" s="1107"/>
      <c r="K22" s="1107"/>
    </row>
    <row r="23" spans="1:15" s="1097" customFormat="1" ht="18" hidden="1" customHeight="1">
      <c r="A23" s="1100" t="s">
        <v>718</v>
      </c>
      <c r="B23" s="1102"/>
      <c r="C23" s="1103"/>
      <c r="D23" s="1112"/>
      <c r="E23" s="1113"/>
      <c r="F23" s="1114"/>
      <c r="N23" s="1097">
        <f>COUNTIF(E34:E34,"&lt;&gt;0")-COUNTBLANK(E34:E34)</f>
        <v>0</v>
      </c>
    </row>
    <row r="24" spans="1:15" s="1116" customFormat="1">
      <c r="A24" s="1100" t="s">
        <v>718</v>
      </c>
      <c r="B24" s="1115"/>
    </row>
    <row r="25" spans="1:15">
      <c r="A25" s="1100" t="s">
        <v>718</v>
      </c>
      <c r="B25" s="131" t="s">
        <v>2227</v>
      </c>
      <c r="C25" s="130"/>
      <c r="D25" s="131"/>
      <c r="E25" s="131"/>
      <c r="F25" s="131"/>
      <c r="G25" s="130"/>
      <c r="H25" s="130"/>
    </row>
    <row r="26" spans="1:15">
      <c r="A26" s="1100" t="s">
        <v>718</v>
      </c>
      <c r="B26" s="130"/>
      <c r="C26" s="130"/>
      <c r="D26" s="1405"/>
      <c r="E26" s="130"/>
      <c r="F26" s="130"/>
      <c r="G26" s="130"/>
      <c r="H26" s="130"/>
    </row>
    <row r="27" spans="1:15">
      <c r="A27" s="1100" t="s">
        <v>718</v>
      </c>
      <c r="B27" s="1407"/>
      <c r="C27" s="1408"/>
      <c r="D27" s="2138" t="s">
        <v>551</v>
      </c>
      <c r="E27" s="613" t="s">
        <v>54</v>
      </c>
      <c r="F27" s="1406"/>
      <c r="G27" s="1406"/>
      <c r="H27" s="1406"/>
    </row>
    <row r="28" spans="1:15" ht="21">
      <c r="A28" s="1100"/>
      <c r="B28" s="1691"/>
      <c r="C28" s="1692"/>
      <c r="D28" s="2139"/>
      <c r="E28" s="507" t="s">
        <v>2226</v>
      </c>
      <c r="F28" s="1406"/>
      <c r="G28" s="1406"/>
      <c r="H28" s="1406"/>
    </row>
    <row r="29" spans="1:15">
      <c r="A29" s="1100" t="s">
        <v>718</v>
      </c>
      <c r="B29" s="530"/>
      <c r="C29" s="548"/>
      <c r="D29" s="2140"/>
      <c r="E29" s="1245" t="s">
        <v>292</v>
      </c>
      <c r="F29" s="130"/>
      <c r="G29" s="130"/>
      <c r="H29" s="130"/>
    </row>
    <row r="30" spans="1:15">
      <c r="A30" s="1156" t="str">
        <f>$A$19&amp;"_"&amp;B30</f>
        <v>F-45.02_020</v>
      </c>
      <c r="B30" s="431" t="s">
        <v>293</v>
      </c>
      <c r="C30" s="1411" t="s">
        <v>159</v>
      </c>
      <c r="D30" s="145" t="s">
        <v>1470</v>
      </c>
      <c r="E30" s="1921"/>
      <c r="F30" s="130"/>
      <c r="G30" s="130"/>
      <c r="H30" s="130"/>
    </row>
    <row r="31" spans="1:15">
      <c r="A31" s="1156" t="str">
        <f>$A$19&amp;"_"&amp;B31</f>
        <v>F-45.02_030</v>
      </c>
      <c r="B31" s="431" t="s">
        <v>294</v>
      </c>
      <c r="C31" s="1411" t="s">
        <v>67</v>
      </c>
      <c r="D31" s="145" t="s">
        <v>1471</v>
      </c>
      <c r="E31" s="1922"/>
      <c r="F31" s="130"/>
      <c r="G31" s="130"/>
      <c r="H31" s="130"/>
    </row>
    <row r="32" spans="1:15">
      <c r="A32" s="1156" t="str">
        <f>$A$19&amp;"_"&amp;B32</f>
        <v>F-45.02_040</v>
      </c>
      <c r="B32" s="502" t="s">
        <v>295</v>
      </c>
      <c r="C32" s="1412" t="s">
        <v>137</v>
      </c>
      <c r="D32" s="1413" t="s">
        <v>1472</v>
      </c>
      <c r="E32" s="1923"/>
      <c r="F32" s="130"/>
      <c r="G32" s="130"/>
      <c r="H32" s="130"/>
    </row>
    <row r="33" spans="1:15">
      <c r="A33" s="1156" t="str">
        <f>$A$19&amp;"_"&amp;B33</f>
        <v>F-45.02_050</v>
      </c>
      <c r="B33" s="503" t="s">
        <v>296</v>
      </c>
      <c r="C33" s="312" t="s">
        <v>2228</v>
      </c>
      <c r="D33" s="1414" t="s">
        <v>45</v>
      </c>
      <c r="E33" s="1920"/>
      <c r="F33" s="130"/>
      <c r="G33" s="130"/>
      <c r="H33" s="130"/>
    </row>
    <row r="34" spans="1:15">
      <c r="A34" s="1100" t="s">
        <v>718</v>
      </c>
      <c r="B34" s="1405"/>
      <c r="C34" s="1405"/>
      <c r="D34" s="1405"/>
      <c r="E34" s="1404"/>
      <c r="F34" s="109"/>
      <c r="G34" s="130"/>
      <c r="H34" s="130"/>
    </row>
    <row r="35" spans="1:15">
      <c r="A35" s="1156" t="s">
        <v>724</v>
      </c>
      <c r="B35" s="1405"/>
      <c r="C35" s="1405"/>
      <c r="D35" s="1405"/>
      <c r="E35" s="130"/>
      <c r="F35" s="130"/>
      <c r="G35" s="130"/>
      <c r="H35" s="130"/>
    </row>
    <row r="36" spans="1:15" s="1097" customFormat="1" ht="18" hidden="1" customHeight="1">
      <c r="A36" s="1096" t="s">
        <v>1543</v>
      </c>
      <c r="B36" s="1118">
        <v>2</v>
      </c>
      <c r="C36" s="1118">
        <v>1</v>
      </c>
      <c r="D36" s="1119">
        <v>11</v>
      </c>
      <c r="E36" s="1182">
        <v>5</v>
      </c>
      <c r="F36" s="1120">
        <v>3</v>
      </c>
      <c r="G36" s="1121">
        <v>4</v>
      </c>
      <c r="H36" s="1122">
        <v>4</v>
      </c>
      <c r="I36" s="1122">
        <v>4</v>
      </c>
      <c r="J36" s="1123">
        <v>4</v>
      </c>
      <c r="K36" s="1123">
        <v>5</v>
      </c>
      <c r="L36" s="1124">
        <v>4</v>
      </c>
      <c r="M36" s="1124">
        <v>6</v>
      </c>
      <c r="N36" s="1125">
        <v>4</v>
      </c>
      <c r="O36" s="1125">
        <v>7</v>
      </c>
    </row>
    <row r="37" spans="1:15" s="1097" customFormat="1" ht="18" hidden="1" customHeight="1">
      <c r="A37" s="1096" t="str">
        <f>Index!$A$2</f>
        <v>V20181222</v>
      </c>
      <c r="B37" s="1098"/>
      <c r="C37" s="1099"/>
      <c r="D37" s="1100"/>
      <c r="E37" s="1100" t="str">
        <f>$A$36&amp;"_"&amp;E45</f>
        <v>F-45.03_010</v>
      </c>
      <c r="F37" s="1100" t="str">
        <f>$A$36&amp;"_"&amp;F45</f>
        <v>F-45.03_020</v>
      </c>
      <c r="G37" s="1100"/>
      <c r="H37" s="1100"/>
      <c r="I37" s="1100"/>
      <c r="J37" s="1100"/>
      <c r="K37" s="1100"/>
      <c r="L37" s="1100"/>
      <c r="M37" s="1100"/>
      <c r="N37" s="1101"/>
    </row>
    <row r="38" spans="1:15" s="1097" customFormat="1" ht="18" hidden="1" customHeight="1">
      <c r="A38" s="1096" t="str">
        <f>"R:A1:P"&amp;ROW(A85)+1</f>
        <v>R:A1:P86</v>
      </c>
      <c r="B38" s="1102"/>
      <c r="C38" s="1103"/>
      <c r="D38" s="1104"/>
      <c r="E38" s="1105"/>
      <c r="F38" s="1106"/>
      <c r="G38" s="1107"/>
      <c r="H38" s="1107"/>
      <c r="I38" s="1107"/>
      <c r="J38" s="1107"/>
      <c r="K38" s="1107"/>
    </row>
    <row r="39" spans="1:15" s="1097" customFormat="1" ht="18" hidden="1" customHeight="1">
      <c r="A39" s="1100" t="s">
        <v>718</v>
      </c>
      <c r="B39" s="1102"/>
      <c r="C39" s="1103"/>
      <c r="D39" s="1108"/>
      <c r="E39" s="1109"/>
      <c r="F39" s="1110"/>
      <c r="G39" s="1111">
        <f>N40</f>
        <v>0</v>
      </c>
      <c r="H39" s="1107"/>
      <c r="I39" s="1107"/>
      <c r="J39" s="1107"/>
      <c r="K39" s="1107"/>
    </row>
    <row r="40" spans="1:15" s="1097" customFormat="1" ht="18" hidden="1" customHeight="1">
      <c r="A40" s="1100" t="s">
        <v>718</v>
      </c>
      <c r="B40" s="1102"/>
      <c r="C40" s="1103"/>
      <c r="D40" s="1112"/>
      <c r="E40" s="1113"/>
      <c r="F40" s="1114"/>
      <c r="N40" s="1097">
        <f>COUNTIF(G45:H51,"&lt;&gt;0")-COUNTBLANK(G45:H51)+COUNTIF(E51:F52,"&lt;&gt;0")-COUNTBLANK(E51:F52)</f>
        <v>0</v>
      </c>
    </row>
    <row r="41" spans="1:15" s="1116" customFormat="1">
      <c r="A41" s="1100" t="s">
        <v>718</v>
      </c>
      <c r="B41" s="1115"/>
    </row>
    <row r="42" spans="1:15">
      <c r="A42" s="1100" t="s">
        <v>718</v>
      </c>
      <c r="B42" s="131" t="s">
        <v>1473</v>
      </c>
      <c r="C42" s="130"/>
      <c r="D42" s="131"/>
      <c r="E42" s="131"/>
      <c r="F42" s="131"/>
      <c r="G42" s="130"/>
      <c r="H42" s="130"/>
    </row>
    <row r="43" spans="1:15">
      <c r="A43" s="1100" t="s">
        <v>718</v>
      </c>
      <c r="B43" s="130"/>
      <c r="C43" s="130"/>
      <c r="D43" s="1405"/>
      <c r="E43" s="130"/>
      <c r="F43" s="130"/>
      <c r="G43" s="130"/>
      <c r="H43" s="130"/>
    </row>
    <row r="44" spans="1:15">
      <c r="A44" s="1100" t="s">
        <v>718</v>
      </c>
      <c r="B44" s="1407"/>
      <c r="C44" s="1408"/>
      <c r="D44" s="1409" t="s">
        <v>551</v>
      </c>
      <c r="E44" s="546" t="s">
        <v>210</v>
      </c>
      <c r="F44" s="546" t="s">
        <v>211</v>
      </c>
      <c r="G44" s="1406"/>
      <c r="H44" s="1406"/>
    </row>
    <row r="45" spans="1:15">
      <c r="A45" s="1100" t="s">
        <v>718</v>
      </c>
      <c r="B45" s="530"/>
      <c r="C45" s="548"/>
      <c r="D45" s="1410"/>
      <c r="E45" s="418" t="s">
        <v>292</v>
      </c>
      <c r="F45" s="418" t="s">
        <v>293</v>
      </c>
      <c r="G45" s="130"/>
      <c r="H45" s="130"/>
    </row>
    <row r="46" spans="1:15">
      <c r="A46" s="1156" t="str">
        <f>$A$36&amp;"_"&amp;B46</f>
        <v>F-45.03_010</v>
      </c>
      <c r="B46" s="430" t="s">
        <v>292</v>
      </c>
      <c r="C46" s="1415" t="s">
        <v>1474</v>
      </c>
      <c r="D46" s="1416" t="s">
        <v>2229</v>
      </c>
      <c r="E46" s="1924"/>
      <c r="F46" s="1924"/>
      <c r="G46" s="1417">
        <f>IF($E$46&gt;=0,0,"F45.3,c10&gt;=0")</f>
        <v>0</v>
      </c>
      <c r="H46" s="1417">
        <f>IF($F$46&gt;=0,0,"F45.3,c20&gt;=0")</f>
        <v>0</v>
      </c>
    </row>
    <row r="47" spans="1:15">
      <c r="A47" s="1156" t="str">
        <f>$A$36&amp;"_"&amp;B47</f>
        <v>F-45.03_020</v>
      </c>
      <c r="B47" s="431" t="s">
        <v>293</v>
      </c>
      <c r="C47" s="1418" t="s">
        <v>159</v>
      </c>
      <c r="D47" s="1419" t="s">
        <v>2230</v>
      </c>
      <c r="E47" s="1925"/>
      <c r="F47" s="1925"/>
      <c r="G47" s="1417">
        <f>IF($E$47&gt;=0,0,"F45.3,c10&gt;=0")</f>
        <v>0</v>
      </c>
      <c r="H47" s="1417">
        <f>IF($F$47&gt;=0,0,"F45.3,c20&gt;=0")</f>
        <v>0</v>
      </c>
    </row>
    <row r="48" spans="1:15" ht="21.75">
      <c r="A48" s="1156" t="str">
        <f>$A$36&amp;"_"&amp;B48</f>
        <v>F-45.03_030</v>
      </c>
      <c r="B48" s="431" t="s">
        <v>294</v>
      </c>
      <c r="C48" s="1693" t="s">
        <v>2233</v>
      </c>
      <c r="D48" s="1420" t="s">
        <v>2231</v>
      </c>
      <c r="E48" s="1925"/>
      <c r="F48" s="1925"/>
      <c r="G48" s="1417">
        <f>IF($E$48&gt;=0,0,"F45.3,c10&gt;=0")</f>
        <v>0</v>
      </c>
      <c r="H48" s="1417">
        <f>IF($F$48&gt;=0,0,"F45.3,c20&gt;=0")</f>
        <v>0</v>
      </c>
    </row>
    <row r="49" spans="1:8">
      <c r="A49" s="1156" t="str">
        <f>$A$36&amp;"_"&amp;B49</f>
        <v>F-45.03_040</v>
      </c>
      <c r="B49" s="481" t="s">
        <v>295</v>
      </c>
      <c r="C49" s="1421" t="s">
        <v>93</v>
      </c>
      <c r="D49" s="1422" t="s">
        <v>2232</v>
      </c>
      <c r="E49" s="1926"/>
      <c r="F49" s="1926"/>
      <c r="G49" s="1417">
        <f>IF($E$49&gt;=0,0,"F45.3,c10&gt;=0")</f>
        <v>0</v>
      </c>
      <c r="H49" s="1417">
        <f>IF($F$49&gt;=0,0,"F45.3,c20&gt;=0")</f>
        <v>0</v>
      </c>
    </row>
    <row r="50" spans="1:8">
      <c r="A50" s="1156" t="str">
        <f>$A$36&amp;"_"&amp;B50</f>
        <v>F-45.03_050</v>
      </c>
      <c r="B50" s="432" t="s">
        <v>296</v>
      </c>
      <c r="C50" s="1423" t="s">
        <v>1475</v>
      </c>
      <c r="D50" s="1424" t="s">
        <v>1703</v>
      </c>
      <c r="E50" s="1927"/>
      <c r="F50" s="1927"/>
      <c r="G50" s="1417">
        <f>IF($E$50&gt;=0,0,"F45.3,c10&gt;=0")</f>
        <v>0</v>
      </c>
      <c r="H50" s="1417">
        <f>IF($F$50&gt;=0,0,"F45.3,c20&gt;=0")</f>
        <v>0</v>
      </c>
    </row>
    <row r="51" spans="1:8">
      <c r="A51" s="1100" t="s">
        <v>718</v>
      </c>
      <c r="B51" s="130"/>
      <c r="C51" s="130"/>
      <c r="D51" s="1306"/>
      <c r="E51" s="1404"/>
      <c r="G51" s="130"/>
      <c r="H51" s="130"/>
    </row>
    <row r="52" spans="1:8">
      <c r="A52" s="1100" t="s">
        <v>718</v>
      </c>
      <c r="F52" s="1425"/>
    </row>
    <row r="53" spans="1:8">
      <c r="A53" s="1100" t="s">
        <v>718</v>
      </c>
    </row>
    <row r="54" spans="1:8">
      <c r="A54" s="1156" t="s">
        <v>724</v>
      </c>
    </row>
  </sheetData>
  <sheetProtection password="C2F4" sheet="1" objects="1" scenarios="1"/>
  <mergeCells count="2">
    <mergeCell ref="D11:D13"/>
    <mergeCell ref="D27:D29"/>
  </mergeCells>
  <dataValidations count="3">
    <dataValidation type="whole" allowBlank="1" showInputMessage="1" showErrorMessage="1" error="Wrong number format or sign" sqref="E46:F50">
      <formula1>0</formula1>
      <formula2>99999999</formula2>
    </dataValidation>
    <dataValidation type="whole" allowBlank="1" showInputMessage="1" showErrorMessage="1" error="wrong number format or sign" sqref="E16 E33">
      <formula1>-99999999</formula1>
      <formula2>99999999</formula2>
    </dataValidation>
    <dataValidation type="whole" allowBlank="1" showInputMessage="1" showErrorMessage="1" error="Wrong number format or sign" sqref="E14:E15 F15 E30:E32">
      <formula1>-99999999</formula1>
      <formula2>99999999</formula2>
    </dataValidation>
  </dataValidations>
  <printOptions headings="1" gridLines="1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0" tint="-0.499984740745262"/>
    <pageSetUpPr fitToPage="1"/>
  </sheetPr>
  <dimension ref="A1:X51"/>
  <sheetViews>
    <sheetView topLeftCell="B6" zoomScale="80" zoomScaleNormal="80" workbookViewId="0">
      <selection activeCell="B6" sqref="B6"/>
    </sheetView>
  </sheetViews>
  <sheetFormatPr defaultColWidth="9.140625" defaultRowHeight="12.75"/>
  <cols>
    <col min="1" max="1" width="12.140625" style="1156" hidden="1" customWidth="1"/>
    <col min="2" max="2" width="6.5703125" style="1233" customWidth="1"/>
    <col min="3" max="3" width="47.42578125" style="1233" bestFit="1" customWidth="1"/>
    <col min="4" max="4" width="26.5703125" style="1233" bestFit="1" customWidth="1"/>
    <col min="5" max="9" width="13.7109375" style="1233" customWidth="1"/>
    <col min="10" max="10" width="13.7109375" style="1319" customWidth="1"/>
    <col min="11" max="17" width="13.7109375" style="1233" customWidth="1"/>
    <col min="18" max="18" width="18.140625" style="1233" customWidth="1"/>
    <col min="19" max="19" width="16.140625" style="1233" customWidth="1"/>
    <col min="20" max="20" width="13.7109375" style="1233" customWidth="1"/>
    <col min="21" max="21" width="15" style="1233" customWidth="1"/>
    <col min="22" max="16384" width="9.140625" style="1233"/>
  </cols>
  <sheetData>
    <row r="1" spans="1:24" s="1097" customFormat="1" ht="18" hidden="1" customHeight="1">
      <c r="A1" s="1096" t="s">
        <v>1540</v>
      </c>
      <c r="B1" s="1118">
        <v>2</v>
      </c>
      <c r="C1" s="1118">
        <v>1</v>
      </c>
      <c r="D1" s="1119">
        <v>13</v>
      </c>
      <c r="E1" s="1182">
        <v>5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24" s="1097" customFormat="1" ht="18" hidden="1" customHeight="1">
      <c r="A2" s="1096" t="str">
        <f>Index!$A$2</f>
        <v>V20181222</v>
      </c>
      <c r="B2" s="1098"/>
      <c r="C2" s="1099"/>
      <c r="D2" s="1100"/>
      <c r="E2" s="1100" t="str">
        <f>$A$1&amp;"_"&amp;E12</f>
        <v>F-46.00_010</v>
      </c>
      <c r="F2" s="1100" t="str">
        <f t="shared" ref="F2:R2" si="0">$A$1&amp;"_"&amp;F12</f>
        <v>F-46.00_020</v>
      </c>
      <c r="G2" s="1100" t="str">
        <f t="shared" si="0"/>
        <v>F-46.00_030</v>
      </c>
      <c r="H2" s="1100" t="str">
        <f t="shared" si="0"/>
        <v>F-46.00_040</v>
      </c>
      <c r="I2" s="1100" t="str">
        <f t="shared" si="0"/>
        <v>F-46.00_050</v>
      </c>
      <c r="J2" s="1100" t="str">
        <f t="shared" si="0"/>
        <v>F-46.00_060</v>
      </c>
      <c r="K2" s="1100" t="str">
        <f t="shared" si="0"/>
        <v>F-46.00_070</v>
      </c>
      <c r="L2" s="1100" t="str">
        <f t="shared" si="0"/>
        <v>F-46.00_080</v>
      </c>
      <c r="M2" s="1100" t="str">
        <f t="shared" si="0"/>
        <v>F-46.00_090</v>
      </c>
      <c r="N2" s="1100" t="str">
        <f t="shared" si="0"/>
        <v>F-46.00_100</v>
      </c>
      <c r="O2" s="1100" t="str">
        <f t="shared" si="0"/>
        <v>F-46.00_110</v>
      </c>
      <c r="P2" s="1100" t="str">
        <f t="shared" si="0"/>
        <v>F-46.00_120</v>
      </c>
      <c r="Q2" s="1100" t="str">
        <f t="shared" si="0"/>
        <v>F-46.00_130</v>
      </c>
      <c r="R2" s="1100" t="str">
        <f t="shared" si="0"/>
        <v>F-46.00_140</v>
      </c>
    </row>
    <row r="3" spans="1:24" s="1097" customFormat="1" ht="18" hidden="1" customHeight="1">
      <c r="A3" s="1096" t="str">
        <f>"R:A1:W"&amp;ROW(A45)+1</f>
        <v>R:A1:W46</v>
      </c>
      <c r="B3" s="1102"/>
      <c r="C3" s="1103"/>
      <c r="D3" s="1104"/>
      <c r="E3" s="1105"/>
      <c r="F3" s="1106"/>
      <c r="G3" s="1107"/>
      <c r="H3" s="1107"/>
      <c r="I3" s="1107"/>
      <c r="J3" s="1107"/>
      <c r="K3" s="1107"/>
    </row>
    <row r="4" spans="1:24" s="1097" customFormat="1" ht="18" hidden="1" customHeight="1">
      <c r="A4" s="1096"/>
      <c r="B4" s="1102"/>
      <c r="C4" s="1103"/>
      <c r="D4" s="1108"/>
      <c r="E4" s="1109"/>
      <c r="F4" s="1110"/>
      <c r="G4" s="1111">
        <f>N5</f>
        <v>0</v>
      </c>
      <c r="H4" s="1107"/>
      <c r="I4" s="1107"/>
      <c r="J4" s="1107"/>
      <c r="K4" s="1107"/>
    </row>
    <row r="5" spans="1:24" s="1097" customFormat="1" ht="18" hidden="1" customHeight="1">
      <c r="A5" s="1096"/>
      <c r="B5" s="1102"/>
      <c r="C5" s="1103"/>
      <c r="D5" s="1112"/>
      <c r="E5" s="1113"/>
      <c r="F5" s="1114"/>
      <c r="N5" s="1097">
        <f>COUNTIF(S13:U35,"&lt;&gt;0")-COUNTBLANK(S13:U35)+COUNTIF(E34:R40,"&lt;&gt;0")-COUNTBLANK(E34:R40)</f>
        <v>0</v>
      </c>
    </row>
    <row r="6" spans="1:24" s="1116" customFormat="1" ht="12" customHeight="1">
      <c r="A6" s="1100" t="s">
        <v>718</v>
      </c>
      <c r="B6" s="1115"/>
    </row>
    <row r="7" spans="1:24">
      <c r="A7" s="1100" t="s">
        <v>718</v>
      </c>
      <c r="B7" s="1426" t="s">
        <v>1476</v>
      </c>
      <c r="C7" s="112"/>
      <c r="D7" s="112"/>
      <c r="E7" s="158" t="str">
        <f>IF(SUM($E$13:$R$33)&lt;&gt;0,"Y","N")</f>
        <v>N</v>
      </c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</row>
    <row r="8" spans="1:24">
      <c r="A8" s="1100" t="s">
        <v>718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</row>
    <row r="9" spans="1:24" ht="27" customHeight="1">
      <c r="A9" s="1100" t="s">
        <v>718</v>
      </c>
      <c r="B9" s="1427"/>
      <c r="C9" s="2143" t="s">
        <v>1477</v>
      </c>
      <c r="D9" s="2145" t="s">
        <v>551</v>
      </c>
      <c r="E9" s="2141" t="s">
        <v>1478</v>
      </c>
      <c r="F9" s="2141" t="s">
        <v>1479</v>
      </c>
      <c r="G9" s="2141" t="s">
        <v>1480</v>
      </c>
      <c r="H9" s="2141" t="s">
        <v>1481</v>
      </c>
      <c r="I9" s="2141" t="s">
        <v>364</v>
      </c>
      <c r="J9" s="2141" t="s">
        <v>116</v>
      </c>
      <c r="K9" s="2141" t="s">
        <v>79</v>
      </c>
      <c r="L9" s="2141" t="s">
        <v>1482</v>
      </c>
      <c r="M9" s="2141" t="s">
        <v>1483</v>
      </c>
      <c r="N9" s="2141" t="s">
        <v>1484</v>
      </c>
      <c r="O9" s="2141" t="s">
        <v>345</v>
      </c>
      <c r="P9" s="2148" t="s">
        <v>1485</v>
      </c>
      <c r="Q9" s="2148"/>
      <c r="R9" s="2149" t="s">
        <v>82</v>
      </c>
      <c r="S9" s="112"/>
      <c r="T9" s="112"/>
      <c r="U9" s="112"/>
      <c r="V9" s="112"/>
      <c r="W9" s="112"/>
      <c r="X9" s="112"/>
    </row>
    <row r="10" spans="1:24" ht="123.75" customHeight="1">
      <c r="A10" s="1100" t="s">
        <v>718</v>
      </c>
      <c r="B10" s="455"/>
      <c r="C10" s="2144"/>
      <c r="D10" s="2146"/>
      <c r="E10" s="2141"/>
      <c r="F10" s="2142"/>
      <c r="G10" s="2142" t="s">
        <v>1480</v>
      </c>
      <c r="H10" s="2141"/>
      <c r="I10" s="2142" t="s">
        <v>1486</v>
      </c>
      <c r="J10" s="2142"/>
      <c r="K10" s="2142"/>
      <c r="L10" s="2142"/>
      <c r="M10" s="2151"/>
      <c r="N10" s="2142"/>
      <c r="O10" s="2142"/>
      <c r="P10" s="1428" t="s">
        <v>339</v>
      </c>
      <c r="Q10" s="1428" t="s">
        <v>35</v>
      </c>
      <c r="R10" s="2150"/>
      <c r="S10" s="112"/>
      <c r="T10" s="112"/>
      <c r="U10" s="112"/>
      <c r="V10" s="112"/>
      <c r="W10" s="112"/>
      <c r="X10" s="112"/>
    </row>
    <row r="11" spans="1:24" ht="60.75" customHeight="1">
      <c r="A11" s="1100" t="s">
        <v>718</v>
      </c>
      <c r="B11" s="1429"/>
      <c r="C11" s="2144"/>
      <c r="D11" s="2146"/>
      <c r="E11" s="1430" t="s">
        <v>1487</v>
      </c>
      <c r="F11" s="1430" t="s">
        <v>1488</v>
      </c>
      <c r="G11" s="1430" t="s">
        <v>1489</v>
      </c>
      <c r="H11" s="1430" t="s">
        <v>1490</v>
      </c>
      <c r="I11" s="1430" t="s">
        <v>1491</v>
      </c>
      <c r="J11" s="1430" t="s">
        <v>685</v>
      </c>
      <c r="K11" s="1430" t="s">
        <v>1492</v>
      </c>
      <c r="L11" s="1430" t="s">
        <v>1493</v>
      </c>
      <c r="M11" s="1430" t="s">
        <v>1494</v>
      </c>
      <c r="N11" s="1430" t="s">
        <v>1495</v>
      </c>
      <c r="O11" s="1430" t="s">
        <v>1496</v>
      </c>
      <c r="P11" s="1430" t="s">
        <v>1497</v>
      </c>
      <c r="Q11" s="1430" t="s">
        <v>1497</v>
      </c>
      <c r="R11" s="1430" t="s">
        <v>1498</v>
      </c>
      <c r="S11" s="303"/>
      <c r="T11" s="303"/>
      <c r="U11" s="303"/>
      <c r="V11" s="303"/>
      <c r="W11" s="303"/>
      <c r="X11" s="303"/>
    </row>
    <row r="12" spans="1:24">
      <c r="A12" s="1100" t="s">
        <v>718</v>
      </c>
      <c r="B12" s="1431"/>
      <c r="C12" s="1432"/>
      <c r="D12" s="2147"/>
      <c r="E12" s="1433" t="s">
        <v>292</v>
      </c>
      <c r="F12" s="1433" t="s">
        <v>293</v>
      </c>
      <c r="G12" s="1433" t="s">
        <v>294</v>
      </c>
      <c r="H12" s="1433" t="s">
        <v>295</v>
      </c>
      <c r="I12" s="1433" t="s">
        <v>296</v>
      </c>
      <c r="J12" s="1433" t="s">
        <v>297</v>
      </c>
      <c r="K12" s="1433" t="s">
        <v>298</v>
      </c>
      <c r="L12" s="1433" t="s">
        <v>299</v>
      </c>
      <c r="M12" s="1433" t="s">
        <v>300</v>
      </c>
      <c r="N12" s="1433">
        <v>100</v>
      </c>
      <c r="O12" s="1433">
        <v>110</v>
      </c>
      <c r="P12" s="1433">
        <v>120</v>
      </c>
      <c r="Q12" s="1433">
        <v>130</v>
      </c>
      <c r="R12" s="1434">
        <v>140</v>
      </c>
      <c r="S12" s="303"/>
      <c r="T12" s="303"/>
      <c r="U12" s="303"/>
      <c r="V12" s="303"/>
      <c r="W12" s="303"/>
      <c r="X12" s="303"/>
    </row>
    <row r="13" spans="1:24">
      <c r="A13" s="1156" t="str">
        <f t="shared" ref="A13:A33" si="1">$A$1&amp;"_"&amp;B13</f>
        <v>F-46.00_010</v>
      </c>
      <c r="B13" s="1436" t="s">
        <v>292</v>
      </c>
      <c r="C13" s="1437" t="s">
        <v>1499</v>
      </c>
      <c r="D13" s="1438"/>
      <c r="E13" s="1928"/>
      <c r="F13" s="1928"/>
      <c r="G13" s="1928"/>
      <c r="H13" s="1928"/>
      <c r="I13" s="1928"/>
      <c r="J13" s="1928"/>
      <c r="K13" s="1928"/>
      <c r="L13" s="1928"/>
      <c r="M13" s="1928"/>
      <c r="N13" s="1928"/>
      <c r="O13" s="1928"/>
      <c r="P13" s="1928"/>
      <c r="Q13" s="1928"/>
      <c r="R13" s="1928"/>
      <c r="S13" s="1379">
        <f>IF($M$13&lt;=0,0,"f46,r090&lt;=0")</f>
        <v>0</v>
      </c>
      <c r="T13" s="1439">
        <f>IF($O$13&lt;=0,0,"f46,c110&lt;=0")</f>
        <v>0</v>
      </c>
      <c r="V13" s="1435"/>
      <c r="W13" s="1435"/>
      <c r="X13" s="1435"/>
    </row>
    <row r="14" spans="1:24">
      <c r="A14" s="1156" t="str">
        <f t="shared" si="1"/>
        <v>F-46.00_020</v>
      </c>
      <c r="B14" s="1440" t="s">
        <v>293</v>
      </c>
      <c r="C14" s="1441" t="s">
        <v>1500</v>
      </c>
      <c r="D14" s="1442" t="s">
        <v>1501</v>
      </c>
      <c r="E14" s="1929"/>
      <c r="F14" s="1929"/>
      <c r="G14" s="1929"/>
      <c r="H14" s="1929"/>
      <c r="I14" s="1929"/>
      <c r="J14" s="1929"/>
      <c r="K14" s="1929"/>
      <c r="L14" s="1929"/>
      <c r="M14" s="1929"/>
      <c r="N14" s="1929"/>
      <c r="O14" s="1929"/>
      <c r="P14" s="1929"/>
      <c r="Q14" s="1929"/>
      <c r="R14" s="1930"/>
      <c r="S14" s="671"/>
      <c r="T14" s="1439"/>
      <c r="U14" s="1379"/>
      <c r="V14" s="112"/>
      <c r="W14" s="112"/>
      <c r="X14" s="112"/>
    </row>
    <row r="15" spans="1:24" ht="25.5">
      <c r="A15" s="1156" t="str">
        <f t="shared" si="1"/>
        <v>F-46.00_030</v>
      </c>
      <c r="B15" s="1443" t="s">
        <v>294</v>
      </c>
      <c r="C15" s="1444" t="s">
        <v>1502</v>
      </c>
      <c r="D15" s="1445" t="s">
        <v>1503</v>
      </c>
      <c r="E15" s="1931"/>
      <c r="F15" s="1931"/>
      <c r="G15" s="1931"/>
      <c r="H15" s="1931"/>
      <c r="I15" s="1931"/>
      <c r="J15" s="1931"/>
      <c r="K15" s="1931"/>
      <c r="L15" s="1931"/>
      <c r="M15" s="1929"/>
      <c r="N15" s="1931"/>
      <c r="O15" s="1929"/>
      <c r="P15" s="1931"/>
      <c r="Q15" s="1931"/>
      <c r="R15" s="1930"/>
      <c r="S15" s="671"/>
      <c r="T15" s="1439"/>
      <c r="U15" s="1379"/>
      <c r="V15" s="112"/>
      <c r="W15" s="112"/>
      <c r="X15" s="112"/>
    </row>
    <row r="16" spans="1:24">
      <c r="A16" s="1156" t="str">
        <f t="shared" si="1"/>
        <v>F-46.00_040</v>
      </c>
      <c r="B16" s="1446" t="s">
        <v>295</v>
      </c>
      <c r="C16" s="1447" t="s">
        <v>1504</v>
      </c>
      <c r="D16" s="1447"/>
      <c r="E16" s="1932"/>
      <c r="F16" s="1932"/>
      <c r="G16" s="1932"/>
      <c r="H16" s="1932"/>
      <c r="I16" s="1932"/>
      <c r="J16" s="1932"/>
      <c r="K16" s="1932"/>
      <c r="L16" s="1932"/>
      <c r="M16" s="1932"/>
      <c r="N16" s="1932"/>
      <c r="O16" s="1932"/>
      <c r="P16" s="1932"/>
      <c r="Q16" s="1932"/>
      <c r="R16" s="1932"/>
      <c r="S16" s="1448">
        <f>IF($R$16=SUM($R$13:$R$15),0,"r40 =r10+r20+r30")</f>
        <v>0</v>
      </c>
      <c r="T16" s="1379">
        <f>IF($M$16&lt;=0,0,"f46,r090&lt;=0")</f>
        <v>0</v>
      </c>
      <c r="U16" s="1439">
        <f>IF($O$16&lt;=0,0,"f46,c110&lt;=0")</f>
        <v>0</v>
      </c>
      <c r="V16" s="1435"/>
      <c r="W16" s="1435"/>
      <c r="X16" s="1435"/>
    </row>
    <row r="17" spans="1:24" ht="24" customHeight="1">
      <c r="A17" s="1156" t="str">
        <f t="shared" si="1"/>
        <v>F-46.00_050</v>
      </c>
      <c r="B17" s="1449" t="s">
        <v>296</v>
      </c>
      <c r="C17" s="1450" t="s">
        <v>1505</v>
      </c>
      <c r="D17" s="1451" t="s">
        <v>1506</v>
      </c>
      <c r="E17" s="1929"/>
      <c r="F17" s="1929"/>
      <c r="G17" s="1933"/>
      <c r="H17" s="1933"/>
      <c r="I17" s="1933"/>
      <c r="J17" s="1929"/>
      <c r="K17" s="1929"/>
      <c r="L17" s="1929"/>
      <c r="M17" s="1933"/>
      <c r="N17" s="1933"/>
      <c r="O17" s="1933"/>
      <c r="P17" s="1934"/>
      <c r="Q17" s="1929"/>
      <c r="R17" s="1934"/>
      <c r="S17" s="671"/>
      <c r="U17" s="1379"/>
      <c r="V17" s="112"/>
      <c r="W17" s="112"/>
      <c r="X17" s="112"/>
    </row>
    <row r="18" spans="1:24" ht="28.5" customHeight="1">
      <c r="A18" s="1156" t="str">
        <f t="shared" si="1"/>
        <v>F-46.00_060</v>
      </c>
      <c r="B18" s="1440" t="s">
        <v>297</v>
      </c>
      <c r="C18" s="1441" t="s">
        <v>1507</v>
      </c>
      <c r="D18" s="1442" t="s">
        <v>1506</v>
      </c>
      <c r="E18" s="1929"/>
      <c r="F18" s="1929"/>
      <c r="G18" s="1929"/>
      <c r="H18" s="1935"/>
      <c r="I18" s="1935"/>
      <c r="J18" s="1929"/>
      <c r="K18" s="1929"/>
      <c r="L18" s="1929"/>
      <c r="M18" s="1935"/>
      <c r="N18" s="1935"/>
      <c r="O18" s="1935"/>
      <c r="P18" s="1936"/>
      <c r="Q18" s="1929"/>
      <c r="R18" s="1936"/>
      <c r="S18" s="671"/>
      <c r="T18" s="1439"/>
      <c r="U18" s="1379"/>
      <c r="V18" s="112"/>
      <c r="W18" s="112"/>
      <c r="X18" s="112"/>
    </row>
    <row r="19" spans="1:24" ht="27" customHeight="1">
      <c r="A19" s="1156" t="str">
        <f t="shared" si="1"/>
        <v>F-46.00_070</v>
      </c>
      <c r="B19" s="1440" t="s">
        <v>298</v>
      </c>
      <c r="C19" s="1441" t="s">
        <v>1508</v>
      </c>
      <c r="D19" s="1442" t="s">
        <v>1506</v>
      </c>
      <c r="E19" s="1937"/>
      <c r="F19" s="1935"/>
      <c r="G19" s="1929"/>
      <c r="H19" s="1929"/>
      <c r="I19" s="1935"/>
      <c r="J19" s="1929"/>
      <c r="K19" s="1929"/>
      <c r="L19" s="1929"/>
      <c r="M19" s="1935"/>
      <c r="N19" s="1935"/>
      <c r="O19" s="1935"/>
      <c r="P19" s="1935"/>
      <c r="Q19" s="1929"/>
      <c r="R19" s="1930"/>
      <c r="S19" s="671"/>
      <c r="T19" s="1439"/>
      <c r="U19" s="1379"/>
      <c r="V19" s="112"/>
      <c r="W19" s="112"/>
      <c r="X19" s="112"/>
    </row>
    <row r="20" spans="1:24" ht="25.5">
      <c r="A20" s="1156" t="str">
        <f t="shared" si="1"/>
        <v>F-46.00_080</v>
      </c>
      <c r="B20" s="1440" t="s">
        <v>299</v>
      </c>
      <c r="C20" s="1441" t="s">
        <v>1509</v>
      </c>
      <c r="D20" s="1442" t="s">
        <v>1506</v>
      </c>
      <c r="E20" s="1929"/>
      <c r="F20" s="1929"/>
      <c r="G20" s="1929"/>
      <c r="H20" s="1935"/>
      <c r="I20" s="1935"/>
      <c r="J20" s="1929"/>
      <c r="K20" s="1929"/>
      <c r="L20" s="1929"/>
      <c r="M20" s="1935"/>
      <c r="N20" s="1935"/>
      <c r="O20" s="1935"/>
      <c r="P20" s="1935"/>
      <c r="Q20" s="1929"/>
      <c r="R20" s="1930"/>
      <c r="S20" s="671"/>
      <c r="T20" s="1439"/>
      <c r="U20" s="1379"/>
      <c r="V20" s="112"/>
      <c r="W20" s="112"/>
      <c r="X20" s="112"/>
    </row>
    <row r="21" spans="1:24" ht="27" customHeight="1">
      <c r="A21" s="1156" t="str">
        <f t="shared" si="1"/>
        <v>F-46.00_090</v>
      </c>
      <c r="B21" s="1440" t="s">
        <v>300</v>
      </c>
      <c r="C21" s="1441" t="s">
        <v>1510</v>
      </c>
      <c r="D21" s="1442" t="s">
        <v>1506</v>
      </c>
      <c r="E21" s="1929"/>
      <c r="F21" s="1929"/>
      <c r="G21" s="1929"/>
      <c r="H21" s="1929"/>
      <c r="I21" s="1935"/>
      <c r="J21" s="1929"/>
      <c r="K21" s="1929"/>
      <c r="L21" s="1929"/>
      <c r="M21" s="1935"/>
      <c r="N21" s="1935"/>
      <c r="O21" s="1935"/>
      <c r="P21" s="1935"/>
      <c r="Q21" s="1929"/>
      <c r="R21" s="1938"/>
      <c r="S21" s="671"/>
      <c r="T21" s="1439"/>
      <c r="U21" s="1379"/>
      <c r="V21" s="112"/>
      <c r="W21" s="112"/>
      <c r="X21" s="112"/>
    </row>
    <row r="22" spans="1:24" ht="30" customHeight="1">
      <c r="A22" s="1156" t="str">
        <f t="shared" si="1"/>
        <v>F-46.00_100</v>
      </c>
      <c r="B22" s="1440" t="s">
        <v>301</v>
      </c>
      <c r="C22" s="1441" t="s">
        <v>1511</v>
      </c>
      <c r="D22" s="1442" t="s">
        <v>1506</v>
      </c>
      <c r="E22" s="1929"/>
      <c r="F22" s="1929"/>
      <c r="G22" s="1935"/>
      <c r="H22" s="1935"/>
      <c r="I22" s="1935"/>
      <c r="J22" s="1929"/>
      <c r="K22" s="1929"/>
      <c r="L22" s="1929"/>
      <c r="M22" s="1929"/>
      <c r="N22" s="1929"/>
      <c r="O22" s="1935"/>
      <c r="P22" s="1935"/>
      <c r="Q22" s="1929"/>
      <c r="R22" s="1929"/>
      <c r="S22" s="671"/>
      <c r="T22" s="1439"/>
      <c r="U22" s="1379"/>
      <c r="V22" s="112"/>
      <c r="W22" s="112"/>
      <c r="X22" s="112"/>
    </row>
    <row r="23" spans="1:24" ht="25.5">
      <c r="A23" s="1156" t="str">
        <f t="shared" si="1"/>
        <v>F-46.00_110</v>
      </c>
      <c r="B23" s="1440" t="s">
        <v>302</v>
      </c>
      <c r="C23" s="1441" t="s">
        <v>1512</v>
      </c>
      <c r="D23" s="1442" t="s">
        <v>1513</v>
      </c>
      <c r="E23" s="1929"/>
      <c r="F23" s="1929"/>
      <c r="G23" s="1929"/>
      <c r="H23" s="1929"/>
      <c r="I23" s="1935"/>
      <c r="J23" s="1929"/>
      <c r="K23" s="1929"/>
      <c r="L23" s="1929"/>
      <c r="M23" s="1929"/>
      <c r="N23" s="1935"/>
      <c r="O23" s="1929"/>
      <c r="P23" s="1935"/>
      <c r="Q23" s="1929"/>
      <c r="R23" s="1938"/>
      <c r="S23" s="671"/>
      <c r="T23" s="1439"/>
      <c r="U23" s="1379"/>
      <c r="V23" s="112"/>
      <c r="W23" s="112"/>
      <c r="X23" s="112"/>
    </row>
    <row r="24" spans="1:24" ht="25.5">
      <c r="A24" s="1156" t="str">
        <f t="shared" si="1"/>
        <v>F-46.00_120</v>
      </c>
      <c r="B24" s="1440" t="s">
        <v>303</v>
      </c>
      <c r="C24" s="1441" t="s">
        <v>1514</v>
      </c>
      <c r="D24" s="1442" t="s">
        <v>1515</v>
      </c>
      <c r="E24" s="1935"/>
      <c r="F24" s="1935"/>
      <c r="G24" s="1935"/>
      <c r="H24" s="1935"/>
      <c r="I24" s="1935"/>
      <c r="J24" s="1929"/>
      <c r="K24" s="1929"/>
      <c r="L24" s="1929"/>
      <c r="M24" s="1929"/>
      <c r="N24" s="1935"/>
      <c r="O24" s="1935"/>
      <c r="P24" s="1929"/>
      <c r="Q24" s="1929"/>
      <c r="R24" s="1936"/>
      <c r="S24" s="671"/>
      <c r="T24" s="1439"/>
      <c r="U24" s="1379"/>
      <c r="V24" s="112"/>
      <c r="W24" s="112"/>
      <c r="X24" s="112"/>
    </row>
    <row r="25" spans="1:24" ht="25.5">
      <c r="A25" s="1156" t="str">
        <f t="shared" si="1"/>
        <v>F-46.00_130</v>
      </c>
      <c r="B25" s="1440" t="s">
        <v>304</v>
      </c>
      <c r="C25" s="1441" t="s">
        <v>1516</v>
      </c>
      <c r="D25" s="1442" t="s">
        <v>1515</v>
      </c>
      <c r="E25" s="1935"/>
      <c r="F25" s="1935"/>
      <c r="G25" s="1935"/>
      <c r="H25" s="1935"/>
      <c r="I25" s="1935"/>
      <c r="J25" s="1929"/>
      <c r="K25" s="1929"/>
      <c r="L25" s="1929"/>
      <c r="M25" s="1929"/>
      <c r="N25" s="1935"/>
      <c r="O25" s="1935"/>
      <c r="P25" s="1929"/>
      <c r="Q25" s="1929"/>
      <c r="R25" s="1936"/>
      <c r="S25" s="671"/>
      <c r="T25" s="1439"/>
      <c r="U25" s="1379"/>
      <c r="V25" s="112"/>
      <c r="W25" s="112"/>
      <c r="X25" s="112"/>
    </row>
    <row r="26" spans="1:24" ht="25.5">
      <c r="A26" s="1156" t="str">
        <f t="shared" si="1"/>
        <v>F-46.00_140</v>
      </c>
      <c r="B26" s="1440" t="s">
        <v>305</v>
      </c>
      <c r="C26" s="1441" t="s">
        <v>1517</v>
      </c>
      <c r="D26" s="1442" t="s">
        <v>1506</v>
      </c>
      <c r="E26" s="1929"/>
      <c r="F26" s="1929"/>
      <c r="G26" s="1929"/>
      <c r="H26" s="1929"/>
      <c r="I26" s="1935"/>
      <c r="J26" s="1935"/>
      <c r="K26" s="1935"/>
      <c r="L26" s="1935"/>
      <c r="M26" s="1935"/>
      <c r="N26" s="1935"/>
      <c r="O26" s="1935"/>
      <c r="P26" s="1935"/>
      <c r="Q26" s="1929"/>
      <c r="R26" s="1938"/>
      <c r="S26" s="112"/>
      <c r="T26" s="1439"/>
      <c r="U26" s="1379"/>
      <c r="V26" s="112"/>
      <c r="W26" s="112"/>
      <c r="X26" s="112"/>
    </row>
    <row r="27" spans="1:24" ht="25.5">
      <c r="A27" s="1156" t="str">
        <f t="shared" si="1"/>
        <v>F-46.00_150</v>
      </c>
      <c r="B27" s="1440" t="s">
        <v>306</v>
      </c>
      <c r="C27" s="1441" t="s">
        <v>1518</v>
      </c>
      <c r="D27" s="1442" t="s">
        <v>1519</v>
      </c>
      <c r="E27" s="1929"/>
      <c r="F27" s="1929"/>
      <c r="G27" s="1929"/>
      <c r="H27" s="1929"/>
      <c r="I27" s="1935"/>
      <c r="J27" s="1935"/>
      <c r="K27" s="1935"/>
      <c r="L27" s="1935"/>
      <c r="M27" s="1935"/>
      <c r="N27" s="1935"/>
      <c r="O27" s="1935"/>
      <c r="P27" s="1935"/>
      <c r="Q27" s="1929"/>
      <c r="R27" s="1938"/>
      <c r="S27" s="671"/>
      <c r="T27" s="1439"/>
      <c r="U27" s="1379"/>
      <c r="V27" s="112"/>
      <c r="W27" s="112"/>
      <c r="X27" s="112"/>
    </row>
    <row r="28" spans="1:24" ht="32.25" customHeight="1">
      <c r="A28" s="1156" t="str">
        <f t="shared" si="1"/>
        <v>F-46.00_160</v>
      </c>
      <c r="B28" s="1440" t="s">
        <v>307</v>
      </c>
      <c r="C28" s="1441" t="s">
        <v>1520</v>
      </c>
      <c r="D28" s="1442" t="s">
        <v>1556</v>
      </c>
      <c r="E28" s="1935"/>
      <c r="F28" s="1935"/>
      <c r="G28" s="1929"/>
      <c r="H28" s="1929"/>
      <c r="I28" s="1929"/>
      <c r="J28" s="1929"/>
      <c r="K28" s="1929"/>
      <c r="L28" s="1929"/>
      <c r="M28" s="1935"/>
      <c r="N28" s="1929"/>
      <c r="O28" s="1929"/>
      <c r="P28" s="1929"/>
      <c r="Q28" s="1929"/>
      <c r="R28" s="1936"/>
      <c r="S28" s="671"/>
      <c r="T28" s="1439"/>
      <c r="U28" s="1379"/>
      <c r="V28" s="112"/>
      <c r="W28" s="112"/>
      <c r="X28" s="112"/>
    </row>
    <row r="29" spans="1:24" ht="25.5">
      <c r="A29" s="1156" t="str">
        <f t="shared" si="1"/>
        <v>F-46.00_170</v>
      </c>
      <c r="B29" s="1440" t="s">
        <v>308</v>
      </c>
      <c r="C29" s="1441" t="s">
        <v>1521</v>
      </c>
      <c r="D29" s="1442" t="s">
        <v>1506</v>
      </c>
      <c r="E29" s="1929"/>
      <c r="F29" s="1929"/>
      <c r="G29" s="1929"/>
      <c r="H29" s="1929"/>
      <c r="I29" s="1929"/>
      <c r="J29" s="1929"/>
      <c r="K29" s="1929"/>
      <c r="L29" s="1929"/>
      <c r="M29" s="1929"/>
      <c r="N29" s="1935"/>
      <c r="O29" s="1935"/>
      <c r="P29" s="1935"/>
      <c r="Q29" s="1929"/>
      <c r="R29" s="1936"/>
      <c r="S29" s="671"/>
      <c r="T29" s="1439"/>
      <c r="U29" s="1379"/>
      <c r="V29" s="112"/>
      <c r="W29" s="112"/>
      <c r="X29" s="112"/>
    </row>
    <row r="30" spans="1:24" ht="25.5">
      <c r="A30" s="1156" t="str">
        <f t="shared" si="1"/>
        <v>F-46.00_180</v>
      </c>
      <c r="B30" s="1440" t="s">
        <v>309</v>
      </c>
      <c r="C30" s="1441" t="s">
        <v>1466</v>
      </c>
      <c r="D30" s="1442" t="s">
        <v>1522</v>
      </c>
      <c r="E30" s="1929"/>
      <c r="F30" s="1929"/>
      <c r="G30" s="1936"/>
      <c r="H30" s="1929"/>
      <c r="I30" s="1935"/>
      <c r="J30" s="1935"/>
      <c r="K30" s="1935"/>
      <c r="L30" s="1935"/>
      <c r="M30" s="1929"/>
      <c r="N30" s="1935"/>
      <c r="O30" s="1935"/>
      <c r="P30" s="1935"/>
      <c r="Q30" s="1929"/>
      <c r="R30" s="1936"/>
      <c r="S30" s="671"/>
      <c r="T30" s="1439"/>
      <c r="U30" s="1379"/>
      <c r="V30" s="112"/>
      <c r="W30" s="112"/>
      <c r="X30" s="112"/>
    </row>
    <row r="31" spans="1:24">
      <c r="A31" s="1156" t="str">
        <f t="shared" si="1"/>
        <v>F-46.00_190</v>
      </c>
      <c r="B31" s="1440" t="s">
        <v>310</v>
      </c>
      <c r="C31" s="1441" t="s">
        <v>1523</v>
      </c>
      <c r="D31" s="1442" t="s">
        <v>1524</v>
      </c>
      <c r="E31" s="1935"/>
      <c r="F31" s="1935"/>
      <c r="G31" s="1929"/>
      <c r="H31" s="1929"/>
      <c r="I31" s="1929"/>
      <c r="J31" s="1929"/>
      <c r="K31" s="1929"/>
      <c r="L31" s="1929"/>
      <c r="M31" s="1929"/>
      <c r="N31" s="1929"/>
      <c r="O31" s="1929"/>
      <c r="P31" s="1929"/>
      <c r="Q31" s="1929"/>
      <c r="R31" s="1929"/>
      <c r="S31" s="671"/>
      <c r="T31" s="1439"/>
      <c r="U31" s="1379"/>
      <c r="V31" s="112"/>
      <c r="W31" s="112"/>
      <c r="X31" s="112"/>
    </row>
    <row r="32" spans="1:24" ht="25.5">
      <c r="A32" s="1156" t="str">
        <f t="shared" si="1"/>
        <v>F-46.00_200</v>
      </c>
      <c r="B32" s="1443">
        <v>200</v>
      </c>
      <c r="C32" s="1444" t="s">
        <v>197</v>
      </c>
      <c r="D32" s="1445" t="s">
        <v>1525</v>
      </c>
      <c r="E32" s="1935"/>
      <c r="F32" s="1935"/>
      <c r="G32" s="1935"/>
      <c r="H32" s="1935"/>
      <c r="I32" s="1929"/>
      <c r="J32" s="1929"/>
      <c r="K32" s="1929"/>
      <c r="L32" s="1929"/>
      <c r="M32" s="1935"/>
      <c r="N32" s="1929"/>
      <c r="O32" s="1935"/>
      <c r="P32" s="1929"/>
      <c r="Q32" s="1929"/>
      <c r="R32" s="1939"/>
      <c r="S32" s="1448"/>
      <c r="T32" s="1379"/>
      <c r="U32" s="1448"/>
      <c r="V32" s="112"/>
      <c r="W32" s="112"/>
      <c r="X32" s="112"/>
    </row>
    <row r="33" spans="1:24">
      <c r="A33" s="1156" t="str">
        <f t="shared" si="1"/>
        <v>F-46.00_210</v>
      </c>
      <c r="B33" s="1446">
        <v>210</v>
      </c>
      <c r="C33" s="1447" t="s">
        <v>1526</v>
      </c>
      <c r="D33" s="1447"/>
      <c r="E33" s="1932"/>
      <c r="F33" s="1932"/>
      <c r="G33" s="1940"/>
      <c r="H33" s="1940"/>
      <c r="I33" s="1940"/>
      <c r="J33" s="1932"/>
      <c r="K33" s="1932"/>
      <c r="L33" s="1932"/>
      <c r="M33" s="1940"/>
      <c r="N33" s="1932"/>
      <c r="O33" s="1940"/>
      <c r="P33" s="1932"/>
      <c r="Q33" s="1940"/>
      <c r="R33" s="1940"/>
      <c r="S33" s="1448">
        <f>IF($R$33=SUM($E$33:$Q$33),0,"c140=sum(c10-130)")</f>
        <v>0</v>
      </c>
      <c r="T33" s="1379">
        <f>IF($M$33&lt;=0,0,"f46,r090&lt;=0")</f>
        <v>0</v>
      </c>
      <c r="U33" s="1439">
        <f>IF($O$33&lt;=0,0,"f46,c110&lt;=0")</f>
        <v>0</v>
      </c>
      <c r="V33" s="1435"/>
      <c r="W33" s="1435"/>
      <c r="X33" s="1435"/>
    </row>
    <row r="34" spans="1:24" ht="21.75" customHeight="1">
      <c r="A34" s="1100" t="s">
        <v>718</v>
      </c>
      <c r="B34" s="112"/>
      <c r="C34" s="1452"/>
      <c r="D34" s="1453"/>
      <c r="E34" s="1454"/>
      <c r="F34" s="1454"/>
      <c r="G34" s="1454"/>
      <c r="H34" s="1454"/>
      <c r="I34" s="1454"/>
      <c r="J34" s="1454"/>
      <c r="K34" s="1454"/>
      <c r="L34" s="1454"/>
      <c r="M34" s="1454"/>
      <c r="N34" s="1454"/>
      <c r="O34" s="1454"/>
      <c r="P34" s="1454"/>
      <c r="Q34" s="1454"/>
      <c r="R34" s="1454"/>
      <c r="S34" s="671"/>
      <c r="U34" s="1379"/>
      <c r="V34" s="112"/>
      <c r="W34" s="112"/>
      <c r="X34" s="112"/>
    </row>
    <row r="35" spans="1:24">
      <c r="A35" s="1100" t="s">
        <v>718</v>
      </c>
      <c r="B35" s="1300"/>
      <c r="C35" s="1300"/>
      <c r="D35" s="1300"/>
      <c r="E35" s="1273">
        <f>IF($E$13&gt;=0,0,"r10&gt;=0")</f>
        <v>0</v>
      </c>
      <c r="F35" s="1273">
        <f>IF($F$13&gt;=0,0,"c10&gt;=0")</f>
        <v>0</v>
      </c>
      <c r="G35" s="1273">
        <f>IF($G$13&gt;=0,0,"r10&gt;=0")</f>
        <v>0</v>
      </c>
      <c r="H35" s="1273"/>
      <c r="I35" s="1274"/>
      <c r="J35" s="1274"/>
      <c r="K35" s="1274"/>
      <c r="L35" s="1274"/>
      <c r="M35" s="1273"/>
      <c r="N35" s="1274"/>
      <c r="O35" s="1379"/>
      <c r="P35" s="671"/>
      <c r="Q35" s="671"/>
      <c r="R35" s="671"/>
      <c r="S35" s="671"/>
      <c r="T35" s="671"/>
      <c r="U35" s="671"/>
      <c r="V35" s="112"/>
      <c r="W35" s="112"/>
      <c r="X35" s="112"/>
    </row>
    <row r="36" spans="1:24">
      <c r="A36" s="1100" t="s">
        <v>718</v>
      </c>
      <c r="B36" s="1300"/>
      <c r="C36" s="1300"/>
      <c r="D36" s="1300"/>
      <c r="E36" s="1273">
        <f>IF($E$16&gt;=0,0,"r40&gt;=0")</f>
        <v>0</v>
      </c>
      <c r="F36" s="1273">
        <f>IF($F$16&gt;=0,0,"c40&gt;=0")</f>
        <v>0</v>
      </c>
      <c r="G36" s="1273">
        <f>IF(G16&gt;=0,0,"r40&gt;=0")</f>
        <v>0</v>
      </c>
      <c r="H36" s="1273"/>
      <c r="I36" s="1274"/>
      <c r="J36" s="1274"/>
      <c r="K36" s="1274"/>
      <c r="L36" s="1274"/>
      <c r="M36" s="1273"/>
      <c r="N36" s="1274"/>
      <c r="O36" s="1273"/>
      <c r="P36" s="671"/>
      <c r="Q36" s="671"/>
      <c r="R36" s="671"/>
      <c r="S36" s="671"/>
      <c r="T36" s="671"/>
      <c r="U36" s="671"/>
      <c r="V36" s="112"/>
      <c r="W36" s="112"/>
      <c r="X36" s="112"/>
    </row>
    <row r="37" spans="1:24">
      <c r="A37" s="1100" t="s">
        <v>718</v>
      </c>
      <c r="B37" s="1300"/>
      <c r="C37" s="1300"/>
      <c r="D37" s="1300"/>
      <c r="E37" s="1273">
        <f>IF($E$33&gt;=0,0,"r210&gt;=0")</f>
        <v>0</v>
      </c>
      <c r="F37" s="1273">
        <f>IF($F$33&gt;=0,0,"c210&gt;=0")</f>
        <v>0</v>
      </c>
      <c r="G37" s="1273">
        <f>IF($G$33&gt;=0,0,"r210&gt;=0")</f>
        <v>0</v>
      </c>
      <c r="H37" s="1273"/>
      <c r="I37" s="671"/>
      <c r="J37" s="671"/>
      <c r="K37" s="671"/>
      <c r="L37" s="671"/>
      <c r="M37" s="1273"/>
      <c r="N37" s="671"/>
      <c r="O37" s="1273"/>
      <c r="P37" s="671"/>
      <c r="Q37" s="671"/>
      <c r="R37" s="671"/>
      <c r="S37" s="671"/>
      <c r="T37" s="671"/>
      <c r="U37" s="671"/>
      <c r="V37" s="112"/>
      <c r="W37" s="112"/>
      <c r="X37" s="112"/>
    </row>
    <row r="38" spans="1:24">
      <c r="A38" s="1100" t="s">
        <v>718</v>
      </c>
      <c r="B38" s="1300"/>
      <c r="C38" s="1300"/>
      <c r="D38" s="1300"/>
      <c r="G38" s="671"/>
      <c r="H38" s="671"/>
      <c r="I38" s="671"/>
      <c r="J38" s="671"/>
      <c r="K38" s="671"/>
      <c r="L38" s="671"/>
      <c r="M38" s="671"/>
      <c r="N38" s="671"/>
      <c r="O38" s="671"/>
      <c r="P38" s="671"/>
      <c r="Q38" s="671"/>
      <c r="R38" s="671"/>
      <c r="S38" s="671"/>
      <c r="T38" s="671"/>
      <c r="U38" s="671"/>
      <c r="V38" s="112"/>
      <c r="W38" s="112"/>
      <c r="X38" s="112"/>
    </row>
    <row r="39" spans="1:24">
      <c r="A39" s="1100" t="s">
        <v>718</v>
      </c>
      <c r="B39" s="1300"/>
      <c r="C39" s="1300"/>
      <c r="D39" s="1300"/>
      <c r="G39" s="671"/>
      <c r="H39" s="671"/>
      <c r="I39" s="671"/>
      <c r="J39" s="671"/>
      <c r="K39" s="671"/>
      <c r="L39" s="671"/>
      <c r="M39" s="671"/>
      <c r="N39" s="671"/>
      <c r="O39" s="671"/>
      <c r="P39" s="671"/>
      <c r="Q39" s="671"/>
      <c r="R39" s="671"/>
      <c r="S39" s="671"/>
      <c r="T39" s="671"/>
      <c r="U39" s="671"/>
      <c r="V39" s="112"/>
      <c r="W39" s="112"/>
      <c r="X39" s="112"/>
    </row>
    <row r="40" spans="1:24" ht="14.25">
      <c r="A40" s="1100" t="s">
        <v>718</v>
      </c>
      <c r="B40" s="1300"/>
      <c r="C40" s="1300"/>
      <c r="D40" s="1300"/>
      <c r="G40" s="671"/>
      <c r="H40" s="671"/>
      <c r="I40" s="671"/>
      <c r="J40" s="1460"/>
      <c r="K40" s="671"/>
      <c r="L40" s="671"/>
      <c r="M40" s="671"/>
      <c r="N40" s="671"/>
      <c r="O40" s="671"/>
      <c r="P40" s="671"/>
      <c r="Q40" s="671"/>
      <c r="R40" s="671"/>
      <c r="S40" s="671"/>
      <c r="T40" s="671"/>
      <c r="U40" s="671"/>
      <c r="V40" s="112"/>
      <c r="W40" s="112"/>
      <c r="X40" s="112"/>
    </row>
    <row r="41" spans="1:24">
      <c r="A41" s="1100" t="s">
        <v>718</v>
      </c>
      <c r="B41" s="1300"/>
      <c r="C41" s="1300"/>
      <c r="D41" s="1300"/>
      <c r="E41" s="1274"/>
      <c r="F41" s="671"/>
      <c r="G41" s="671"/>
      <c r="H41" s="671"/>
      <c r="I41" s="671"/>
      <c r="J41" s="1331"/>
      <c r="K41" s="671"/>
      <c r="L41" s="671"/>
      <c r="M41" s="671"/>
      <c r="N41" s="671"/>
      <c r="O41" s="671"/>
      <c r="P41" s="671"/>
      <c r="Q41" s="671"/>
      <c r="R41" s="671"/>
      <c r="S41" s="671"/>
      <c r="T41" s="671"/>
      <c r="U41" s="671"/>
      <c r="V41" s="112"/>
      <c r="W41" s="112"/>
      <c r="X41" s="112"/>
    </row>
    <row r="42" spans="1:24" ht="15">
      <c r="A42" s="1100" t="s">
        <v>718</v>
      </c>
      <c r="B42" s="1300"/>
      <c r="C42" s="1300"/>
      <c r="D42" s="1300"/>
      <c r="E42" s="1274"/>
      <c r="F42" s="671"/>
      <c r="G42" s="671"/>
      <c r="H42" s="671"/>
      <c r="I42" s="671"/>
      <c r="J42" s="1461"/>
      <c r="K42" s="671"/>
      <c r="L42" s="671"/>
      <c r="M42" s="671"/>
      <c r="N42" s="671"/>
      <c r="O42" s="671"/>
      <c r="P42" s="671"/>
      <c r="Q42" s="671"/>
      <c r="R42" s="671"/>
      <c r="S42" s="671"/>
      <c r="T42" s="671"/>
      <c r="U42" s="671"/>
      <c r="V42" s="112"/>
      <c r="W42" s="112"/>
      <c r="X42" s="112"/>
    </row>
    <row r="43" spans="1:24">
      <c r="A43" s="1156" t="s">
        <v>724</v>
      </c>
      <c r="B43" s="1300"/>
      <c r="C43" s="1300"/>
      <c r="D43" s="1300"/>
      <c r="E43" s="1274"/>
      <c r="F43" s="671"/>
      <c r="G43" s="671"/>
      <c r="H43" s="671"/>
      <c r="I43" s="671"/>
      <c r="J43" s="1331"/>
      <c r="K43" s="671"/>
      <c r="L43" s="671"/>
      <c r="M43" s="671"/>
      <c r="N43" s="671"/>
      <c r="O43" s="671"/>
      <c r="P43" s="671"/>
      <c r="Q43" s="671"/>
      <c r="R43" s="671"/>
      <c r="S43" s="671"/>
      <c r="T43" s="671"/>
      <c r="U43" s="671"/>
      <c r="V43" s="112"/>
      <c r="W43" s="112"/>
      <c r="X43" s="112"/>
    </row>
    <row r="44" spans="1:24">
      <c r="B44" s="1300"/>
      <c r="C44" s="1300"/>
      <c r="D44" s="1300"/>
      <c r="E44" s="1274"/>
      <c r="F44" s="671"/>
      <c r="G44" s="671"/>
      <c r="H44" s="671"/>
      <c r="I44" s="671"/>
      <c r="J44" s="1331"/>
      <c r="K44" s="671"/>
      <c r="L44" s="671"/>
      <c r="M44" s="671"/>
      <c r="N44" s="671"/>
      <c r="O44" s="671"/>
      <c r="P44" s="671"/>
      <c r="Q44" s="671"/>
      <c r="R44" s="671"/>
      <c r="S44" s="671"/>
      <c r="T44" s="671"/>
      <c r="U44" s="671"/>
      <c r="V44" s="112"/>
      <c r="W44" s="112"/>
      <c r="X44" s="112"/>
    </row>
    <row r="45" spans="1:24">
      <c r="B45" s="1300"/>
      <c r="C45" s="1300"/>
      <c r="D45" s="1300"/>
      <c r="E45" s="1274"/>
      <c r="F45" s="671"/>
      <c r="G45" s="671"/>
      <c r="H45" s="671"/>
      <c r="I45" s="671"/>
      <c r="J45" s="1331"/>
      <c r="K45" s="671"/>
      <c r="L45" s="671"/>
      <c r="M45" s="671"/>
      <c r="N45" s="671"/>
      <c r="O45" s="671"/>
      <c r="P45" s="671"/>
      <c r="Q45" s="671"/>
      <c r="R45" s="671"/>
      <c r="S45" s="671"/>
      <c r="T45" s="671"/>
      <c r="U45" s="671"/>
      <c r="V45" s="112"/>
      <c r="W45" s="112"/>
      <c r="X45" s="112"/>
    </row>
    <row r="46" spans="1:24">
      <c r="B46" s="1300"/>
      <c r="C46" s="1300"/>
      <c r="D46" s="1300"/>
      <c r="E46" s="1274"/>
      <c r="F46" s="671"/>
      <c r="G46" s="671"/>
      <c r="H46" s="671"/>
      <c r="I46" s="671"/>
      <c r="J46" s="1331"/>
      <c r="K46" s="671"/>
      <c r="L46" s="671"/>
      <c r="M46" s="671"/>
      <c r="N46" s="671"/>
      <c r="O46" s="671"/>
      <c r="P46" s="671"/>
      <c r="Q46" s="671"/>
      <c r="R46" s="671"/>
      <c r="S46" s="671"/>
      <c r="T46" s="671"/>
      <c r="U46" s="671"/>
      <c r="V46" s="112"/>
      <c r="W46" s="112"/>
      <c r="X46" s="112"/>
    </row>
    <row r="47" spans="1:24">
      <c r="B47" s="1300"/>
      <c r="C47" s="1300"/>
      <c r="D47" s="1300"/>
      <c r="E47" s="1274"/>
      <c r="F47" s="671"/>
      <c r="G47" s="671"/>
      <c r="H47" s="671"/>
      <c r="I47" s="671"/>
      <c r="J47" s="1331"/>
      <c r="K47" s="671"/>
      <c r="L47" s="671"/>
      <c r="M47" s="671"/>
      <c r="N47" s="671"/>
      <c r="O47" s="671"/>
      <c r="P47" s="671"/>
      <c r="Q47" s="671"/>
      <c r="R47" s="671"/>
      <c r="S47" s="671"/>
      <c r="T47" s="671"/>
      <c r="U47" s="671"/>
      <c r="V47" s="112"/>
      <c r="W47" s="112"/>
      <c r="X47" s="112"/>
    </row>
    <row r="48" spans="1:24">
      <c r="B48" s="1300"/>
      <c r="C48" s="1300"/>
      <c r="D48" s="1300"/>
      <c r="E48" s="1274"/>
      <c r="F48" s="671"/>
      <c r="G48" s="671"/>
      <c r="H48" s="671"/>
      <c r="I48" s="671"/>
      <c r="J48" s="1331"/>
      <c r="K48" s="671"/>
      <c r="L48" s="671"/>
      <c r="M48" s="671"/>
      <c r="N48" s="671"/>
      <c r="O48" s="671"/>
      <c r="P48" s="671"/>
      <c r="Q48" s="671"/>
      <c r="R48" s="671"/>
      <c r="S48" s="671"/>
      <c r="T48" s="671"/>
      <c r="U48" s="671"/>
      <c r="V48" s="112"/>
      <c r="W48" s="112"/>
      <c r="X48" s="112"/>
    </row>
    <row r="49" spans="2:24">
      <c r="B49" s="1300"/>
      <c r="C49" s="1300"/>
      <c r="D49" s="1300"/>
      <c r="E49" s="1274"/>
      <c r="F49" s="671"/>
      <c r="G49" s="671"/>
      <c r="H49" s="671"/>
      <c r="I49" s="671"/>
      <c r="J49" s="1331"/>
      <c r="K49" s="671"/>
      <c r="L49" s="671"/>
      <c r="M49" s="671"/>
      <c r="N49" s="671"/>
      <c r="O49" s="671"/>
      <c r="P49" s="671"/>
      <c r="Q49" s="671"/>
      <c r="R49" s="671"/>
      <c r="S49" s="671"/>
      <c r="T49" s="671"/>
      <c r="U49" s="671"/>
      <c r="V49" s="112"/>
      <c r="W49" s="112"/>
      <c r="X49" s="112"/>
    </row>
    <row r="50" spans="2:24">
      <c r="B50" s="112"/>
      <c r="C50" s="112"/>
      <c r="D50" s="112"/>
      <c r="E50" s="671"/>
      <c r="F50" s="671"/>
      <c r="G50" s="671"/>
      <c r="H50" s="671"/>
      <c r="I50" s="671"/>
      <c r="J50" s="1331"/>
      <c r="K50" s="671"/>
      <c r="L50" s="671"/>
      <c r="M50" s="671"/>
      <c r="N50" s="671"/>
      <c r="O50" s="671"/>
      <c r="P50" s="671"/>
      <c r="Q50" s="671"/>
      <c r="R50" s="671"/>
      <c r="S50" s="671"/>
      <c r="T50" s="671"/>
      <c r="U50" s="671"/>
      <c r="V50" s="112"/>
      <c r="W50" s="112"/>
      <c r="X50" s="112"/>
    </row>
    <row r="51" spans="2:24">
      <c r="B51" s="112"/>
      <c r="C51" s="112"/>
      <c r="D51" s="112"/>
      <c r="E51" s="671"/>
      <c r="F51" s="671"/>
      <c r="G51" s="671"/>
      <c r="H51" s="671"/>
      <c r="I51" s="671"/>
      <c r="J51" s="1331"/>
      <c r="K51" s="671"/>
      <c r="L51" s="671"/>
      <c r="M51" s="671"/>
      <c r="N51" s="671"/>
      <c r="O51" s="671"/>
      <c r="P51" s="671"/>
      <c r="Q51" s="671"/>
      <c r="R51" s="671"/>
      <c r="S51" s="671"/>
      <c r="T51" s="671"/>
      <c r="U51" s="671"/>
      <c r="V51" s="112"/>
      <c r="W51" s="112"/>
      <c r="X51" s="112"/>
    </row>
  </sheetData>
  <sheetProtection password="C2F4" sheet="1" objects="1" scenarios="1"/>
  <mergeCells count="15">
    <mergeCell ref="P9:Q9"/>
    <mergeCell ref="R9:R10"/>
    <mergeCell ref="J9:J10"/>
    <mergeCell ref="K9:K10"/>
    <mergeCell ref="L9:L10"/>
    <mergeCell ref="M9:M10"/>
    <mergeCell ref="N9:N10"/>
    <mergeCell ref="O9:O10"/>
    <mergeCell ref="I9:I10"/>
    <mergeCell ref="C9:C11"/>
    <mergeCell ref="E9:E10"/>
    <mergeCell ref="F9:F10"/>
    <mergeCell ref="G9:G10"/>
    <mergeCell ref="H9:H10"/>
    <mergeCell ref="D9:D12"/>
  </mergeCells>
  <dataValidations count="5">
    <dataValidation type="whole" allowBlank="1" showInputMessage="1" showErrorMessage="1" error="wrong number format or sign" sqref="O32 M32 O17:O22 O24:O27 I33:L33 M17:M21 M26:M28 E13:R13 P33:Q33 E16:F16 J16:L16 Q16:R16 G16:G17 E19:F20 H16:H20 G22:H22 N16:N21 N29:P30 R23:R33 P16:P23 P26:P27 E28:F28 N33 N23:N27 G30 G32:H33 E31:F33 I30:L30 J26:L27 I16:I27 E24:H25 R17:R21 R14:R15">
      <formula1>0</formula1>
      <formula2>99999999</formula2>
    </dataValidation>
    <dataValidation type="whole" allowBlank="1" showInputMessage="1" showErrorMessage="1" error="wrong number format or sign" sqref="O16 M16 M33 O33">
      <formula1>-99999999</formula1>
      <formula2>0</formula2>
    </dataValidation>
    <dataValidation type="whole" allowBlank="1" showInputMessage="1" showErrorMessage="1" error="wrong number format or sign" sqref="O31 M30:M31 E17:F17 Q17:Q32 E18:G18 G19:G21 J17:L25 H21 E21:F22 E23:H23 M22:N22 R22 P24:P25 P31:P32 N31:N32 N28:P28 I31:L32 G31:H31 H29:H30 E29:F30 G28:L28 G29 I29:M29 E26:H27 M23:M25 O23 E14:Q15">
      <formula1>-99999999</formula1>
      <formula2>99999999</formula2>
    </dataValidation>
    <dataValidation type="whole" allowBlank="1" showInputMessage="1" showErrorMessage="1" error="Wrong number format" sqref="J40">
      <formula1>-99999999</formula1>
      <formula2>99999999</formula2>
    </dataValidation>
    <dataValidation type="whole" allowBlank="1" showInputMessage="1" showErrorMessage="1" error="Wrong number format, or sign" sqref="J42">
      <formula1>-99999999</formula1>
      <formula2>0</formula2>
    </dataValidation>
  </dataValidations>
  <printOptions headings="1" gridLines="1"/>
  <pageMargins left="0.2" right="0.2" top="0.71" bottom="0.28000000000000003" header="0.17" footer="0.17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61"/>
  <sheetViews>
    <sheetView topLeftCell="B6" zoomScaleNormal="100" zoomScaleSheetLayoutView="104" workbookViewId="0">
      <selection activeCell="B6" sqref="B6"/>
    </sheetView>
  </sheetViews>
  <sheetFormatPr defaultColWidth="9.140625" defaultRowHeight="12.75"/>
  <cols>
    <col min="1" max="1" width="13.5703125" style="1156" hidden="1" customWidth="1"/>
    <col min="2" max="2" width="5.5703125" style="666" customWidth="1"/>
    <col min="3" max="3" width="73.85546875" style="660" customWidth="1"/>
    <col min="4" max="4" width="38" style="660" customWidth="1"/>
    <col min="5" max="5" width="5.28515625" style="1059" bestFit="1" customWidth="1"/>
    <col min="6" max="6" width="14.28515625" style="660" customWidth="1"/>
    <col min="7" max="7" width="23.7109375" style="660" bestFit="1" customWidth="1"/>
    <col min="8" max="8" width="22" style="660" customWidth="1"/>
    <col min="9" max="9" width="12.5703125" style="660" bestFit="1" customWidth="1"/>
    <col min="10" max="16384" width="9.140625" style="660"/>
  </cols>
  <sheetData>
    <row r="1" spans="1:15" s="1097" customFormat="1" ht="18" hidden="1" customHeight="1">
      <c r="A1" s="1096" t="s">
        <v>1232</v>
      </c>
      <c r="B1" s="1118">
        <v>2</v>
      </c>
      <c r="C1" s="1118">
        <v>1</v>
      </c>
      <c r="D1" s="1119">
        <v>13</v>
      </c>
      <c r="E1" s="1182">
        <v>6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15" s="1097" customFormat="1" ht="18" hidden="1" customHeight="1">
      <c r="A2" s="1096" t="str">
        <f>Index!$A$2</f>
        <v>V20181222</v>
      </c>
      <c r="B2" s="1098"/>
      <c r="C2" s="1099"/>
      <c r="D2" s="1100"/>
      <c r="E2" s="1100"/>
      <c r="F2" s="1100" t="str">
        <f>$A$1&amp;"_"&amp;F13</f>
        <v>F-01.02_010</v>
      </c>
      <c r="G2" s="1100"/>
      <c r="H2" s="1100"/>
      <c r="I2" s="1100"/>
      <c r="J2" s="1100"/>
      <c r="K2" s="1100"/>
      <c r="L2" s="1100"/>
      <c r="M2" s="1100"/>
      <c r="N2" s="1101"/>
    </row>
    <row r="3" spans="1:15" s="1097" customFormat="1" ht="18" hidden="1" customHeight="1">
      <c r="A3" s="1096" t="str">
        <f>"R:A1:P"&amp;ROW(A46)+1</f>
        <v>R:A1:P47</v>
      </c>
      <c r="B3" s="1102"/>
      <c r="C3" s="1103"/>
      <c r="D3" s="1104"/>
      <c r="E3" s="1105"/>
      <c r="F3" s="1106"/>
      <c r="G3" s="1107"/>
      <c r="H3" s="1107"/>
      <c r="I3" s="1107"/>
      <c r="J3" s="1107"/>
      <c r="K3" s="1107"/>
    </row>
    <row r="4" spans="1:15" s="1097" customFormat="1" ht="18" hidden="1" customHeight="1">
      <c r="A4" s="1096"/>
      <c r="B4" s="1102"/>
      <c r="C4" s="1103"/>
      <c r="D4" s="1108"/>
      <c r="E4" s="1109"/>
      <c r="F4" s="1110"/>
      <c r="G4" s="1111">
        <f>N5</f>
        <v>0</v>
      </c>
      <c r="H4" s="1107"/>
      <c r="I4" s="1107"/>
      <c r="J4" s="1107"/>
      <c r="K4" s="1107"/>
    </row>
    <row r="5" spans="1:15" s="1097" customFormat="1" ht="18" hidden="1" customHeight="1">
      <c r="A5" s="1096"/>
      <c r="B5" s="1102"/>
      <c r="C5" s="1103"/>
      <c r="D5" s="1112"/>
      <c r="E5" s="1113"/>
      <c r="F5" s="1114"/>
      <c r="N5" s="1097">
        <f>COUNTIF(G8:I107,"&lt;&gt;0")-COUNTBLANK(G8:I107)+COUNTIF(C44:F60,"&lt;&gt;0")-COUNTBLANK(C44:F60)</f>
        <v>0</v>
      </c>
    </row>
    <row r="6" spans="1:15" s="1116" customFormat="1">
      <c r="A6" s="1100" t="s">
        <v>718</v>
      </c>
      <c r="B6" s="1115"/>
    </row>
    <row r="7" spans="1:15">
      <c r="A7" s="1100" t="s">
        <v>718</v>
      </c>
      <c r="B7" s="626" t="s">
        <v>716</v>
      </c>
    </row>
    <row r="8" spans="1:15">
      <c r="A8" s="1100" t="s">
        <v>718</v>
      </c>
      <c r="B8" s="1060"/>
    </row>
    <row r="9" spans="1:15">
      <c r="A9" s="1100" t="s">
        <v>718</v>
      </c>
      <c r="B9" s="1061" t="s">
        <v>670</v>
      </c>
      <c r="D9" s="628"/>
    </row>
    <row r="10" spans="1:15">
      <c r="A10" s="1100" t="s">
        <v>718</v>
      </c>
      <c r="C10" s="1061"/>
    </row>
    <row r="11" spans="1:15" ht="69.75" customHeight="1">
      <c r="A11" s="1100" t="s">
        <v>718</v>
      </c>
      <c r="B11" s="1974"/>
      <c r="C11" s="1971"/>
      <c r="D11" s="630" t="s">
        <v>551</v>
      </c>
      <c r="E11" s="1062" t="s">
        <v>115</v>
      </c>
      <c r="F11" s="366" t="s">
        <v>57</v>
      </c>
    </row>
    <row r="12" spans="1:15" ht="21">
      <c r="A12" s="1100"/>
      <c r="B12" s="1975"/>
      <c r="C12" s="1972"/>
      <c r="D12" s="717"/>
      <c r="E12" s="1619"/>
      <c r="F12" s="1620" t="s">
        <v>604</v>
      </c>
    </row>
    <row r="13" spans="1:15" ht="13.15" customHeight="1">
      <c r="A13" s="1100" t="s">
        <v>718</v>
      </c>
      <c r="B13" s="1976"/>
      <c r="C13" s="1973"/>
      <c r="D13" s="633"/>
      <c r="E13" s="1063"/>
      <c r="F13" s="736" t="s">
        <v>292</v>
      </c>
    </row>
    <row r="14" spans="1:15">
      <c r="A14" s="1156" t="str">
        <f t="shared" ref="A14:A43" si="0">$A$1&amp;"_"&amp;B14</f>
        <v>F-01.02_010</v>
      </c>
      <c r="B14" s="367" t="s">
        <v>292</v>
      </c>
      <c r="C14" s="1610" t="s">
        <v>76</v>
      </c>
      <c r="D14" s="348" t="s">
        <v>1684</v>
      </c>
      <c r="E14" s="1611">
        <v>8</v>
      </c>
      <c r="F14" s="1064">
        <f>SUM($F$15:$F$19)</f>
        <v>0</v>
      </c>
      <c r="G14" s="1072">
        <f>IF($F$14='8'!$E$63,0,"f1.2,r10,c10=f8.1,r450,c10")</f>
        <v>0</v>
      </c>
      <c r="H14" s="1476">
        <f>IF('20'!$G$8="N",0,IF(F14=SUM('20'!E60:F60),0,"(F1.2,r10)= sum(F.20.2,r10,c10-20)"))</f>
        <v>0</v>
      </c>
      <c r="I14" s="822"/>
    </row>
    <row r="15" spans="1:15" ht="21">
      <c r="A15" s="1156" t="str">
        <f t="shared" si="0"/>
        <v>F-01.02_020</v>
      </c>
      <c r="B15" s="361" t="s">
        <v>293</v>
      </c>
      <c r="C15" s="47" t="s">
        <v>121</v>
      </c>
      <c r="D15" s="14" t="s">
        <v>1685</v>
      </c>
      <c r="E15" s="57">
        <v>10</v>
      </c>
      <c r="F15" s="1065">
        <f>'10'!$F$43</f>
        <v>0</v>
      </c>
      <c r="G15" s="1072">
        <f>IF($F$15='8'!E15,0,"f1.2,r20,c10=f8.1,r10,c10")</f>
        <v>0</v>
      </c>
      <c r="H15" s="1476">
        <f>IF('20'!$G$8="N",0,IF(F15=SUM('20'!E61:F61),0,"(F1.2,r20)= sum(F.20.2,r20,c20-20)"))</f>
        <v>0</v>
      </c>
      <c r="I15" s="822"/>
    </row>
    <row r="16" spans="1:15">
      <c r="A16" s="1156" t="str">
        <f t="shared" si="0"/>
        <v>F-01.02_030</v>
      </c>
      <c r="B16" s="361" t="s">
        <v>294</v>
      </c>
      <c r="C16" s="47" t="s">
        <v>77</v>
      </c>
      <c r="D16" s="14" t="s">
        <v>1686</v>
      </c>
      <c r="E16" s="57">
        <v>8</v>
      </c>
      <c r="F16" s="1065">
        <f>'8'!$E$16</f>
        <v>0</v>
      </c>
      <c r="G16" s="1829"/>
      <c r="H16" s="1476">
        <f>IF('20'!$G$8="N",0,IF(F16=SUM('20'!E62:F62),0,"(F1.2,r30)= sum(F.20.2,r30,c10-20)"))</f>
        <v>0</v>
      </c>
      <c r="I16" s="822"/>
    </row>
    <row r="17" spans="1:9" ht="21">
      <c r="A17" s="1156" t="str">
        <f t="shared" si="0"/>
        <v>F-01.02_040</v>
      </c>
      <c r="B17" s="362" t="s">
        <v>295</v>
      </c>
      <c r="C17" s="47" t="s">
        <v>15</v>
      </c>
      <c r="D17" s="14" t="s">
        <v>1568</v>
      </c>
      <c r="E17" s="57">
        <v>8</v>
      </c>
      <c r="F17" s="1065">
        <f>'8'!$E$19</f>
        <v>0</v>
      </c>
      <c r="G17" s="1829"/>
      <c r="H17" s="1476">
        <f>IF('20'!$G$8="N",0,IF(F17=SUM('20'!E63:F63),0,"(F1.2,r40)= sum(F.20.2,r40,c10-20)"))</f>
        <v>0</v>
      </c>
      <c r="I17" s="822"/>
    </row>
    <row r="18" spans="1:9">
      <c r="A18" s="1156" t="str">
        <f t="shared" si="0"/>
        <v>F-01.02_050</v>
      </c>
      <c r="B18" s="363" t="s">
        <v>296</v>
      </c>
      <c r="C18" s="47" t="s">
        <v>32</v>
      </c>
      <c r="D18" s="14" t="s">
        <v>1569</v>
      </c>
      <c r="E18" s="57">
        <v>8</v>
      </c>
      <c r="F18" s="1066"/>
      <c r="G18" s="1072">
        <f>IF($F$18='8'!$E$54,0,"f1.2,r50,c10=f8.1,r360,c10")</f>
        <v>0</v>
      </c>
      <c r="H18" s="1476">
        <f>IF('20'!$G$8="N",0,IF(F18=SUM('20'!E64:F64),0,"(F1.2,r50)= sum(F.20.2,r50,c10-20)"))</f>
        <v>0</v>
      </c>
      <c r="I18" s="822"/>
    </row>
    <row r="19" spans="1:9">
      <c r="A19" s="1156" t="str">
        <f t="shared" si="0"/>
        <v>F-01.02_060</v>
      </c>
      <c r="B19" s="361" t="s">
        <v>297</v>
      </c>
      <c r="C19" s="47" t="s">
        <v>48</v>
      </c>
      <c r="D19" s="14" t="s">
        <v>1570</v>
      </c>
      <c r="E19" s="57">
        <v>8</v>
      </c>
      <c r="F19" s="1065">
        <f>'8'!$E$62</f>
        <v>0</v>
      </c>
      <c r="G19" s="1829"/>
      <c r="H19" s="1476">
        <f>IF('20'!$G$8="N",0,IF(F19=SUM('20'!E65:F65),0,"(F1.2,r60)= sum(F.20.2,r60,c10-20)"))</f>
        <v>0</v>
      </c>
      <c r="I19" s="822"/>
    </row>
    <row r="20" spans="1:9">
      <c r="A20" s="1156" t="str">
        <f t="shared" si="0"/>
        <v>F-01.02_070</v>
      </c>
      <c r="B20" s="368" t="s">
        <v>298</v>
      </c>
      <c r="C20" s="46" t="s">
        <v>113</v>
      </c>
      <c r="D20" s="14" t="s">
        <v>1587</v>
      </c>
      <c r="E20" s="57">
        <v>8</v>
      </c>
      <c r="F20" s="1065">
        <f>SUM($F$21:$F$23)</f>
        <v>0</v>
      </c>
      <c r="G20" s="1072">
        <f>IF($F$20='8'!$F$63,0,"f1.2,r70,c10=f8.1,r450,c20")</f>
        <v>0</v>
      </c>
      <c r="H20" s="1476">
        <f>IF('20'!$G$8="N",0,IF(F20=SUM('20'!E66:F66),0,"(F1.2,r70)= sum(F.20.2,r70,c10-20)"))</f>
        <v>0</v>
      </c>
      <c r="I20" s="822"/>
    </row>
    <row r="21" spans="1:9" ht="27.75" customHeight="1">
      <c r="A21" s="1156" t="str">
        <f t="shared" si="0"/>
        <v>F-01.02_080</v>
      </c>
      <c r="B21" s="368" t="s">
        <v>299</v>
      </c>
      <c r="C21" s="47" t="s">
        <v>15</v>
      </c>
      <c r="D21" s="14" t="s">
        <v>1568</v>
      </c>
      <c r="E21" s="57">
        <v>8</v>
      </c>
      <c r="F21" s="1065">
        <f>'8'!$F$19</f>
        <v>0</v>
      </c>
      <c r="G21" s="1829"/>
      <c r="H21" s="1476">
        <f>IF('20'!$G$8="N",0,IF(F21=SUM('20'!E67:F67),0,"(F1.2,r80)= sum(F.20.2,r80,c10-20)"))</f>
        <v>0</v>
      </c>
      <c r="I21" s="822"/>
    </row>
    <row r="22" spans="1:9">
      <c r="A22" s="1156" t="str">
        <f t="shared" si="0"/>
        <v>F-01.02_090</v>
      </c>
      <c r="B22" s="368" t="s">
        <v>300</v>
      </c>
      <c r="C22" s="47" t="s">
        <v>32</v>
      </c>
      <c r="D22" s="14" t="s">
        <v>1569</v>
      </c>
      <c r="E22" s="57">
        <v>8</v>
      </c>
      <c r="F22" s="1066"/>
      <c r="G22" s="1072">
        <f>IF($F$22='8'!$F$54,0,"f1.2,r90,c10=f8.1,r360,c20")</f>
        <v>0</v>
      </c>
      <c r="H22" s="1476">
        <f>IF('20'!$G$8="N",0,IF(F22=SUM('20'!E68:F68),0,"(F1.2,r90)= sum(F.20.2,r90,c10-20)"))</f>
        <v>0</v>
      </c>
      <c r="I22" s="822"/>
    </row>
    <row r="23" spans="1:9">
      <c r="A23" s="1156" t="str">
        <f t="shared" si="0"/>
        <v>F-01.02_100</v>
      </c>
      <c r="B23" s="363">
        <v>100</v>
      </c>
      <c r="C23" s="47" t="s">
        <v>48</v>
      </c>
      <c r="D23" s="14" t="s">
        <v>1570</v>
      </c>
      <c r="E23" s="57">
        <v>8</v>
      </c>
      <c r="F23" s="1065">
        <f>'8'!$F$62</f>
        <v>0</v>
      </c>
      <c r="G23" s="1829"/>
      <c r="H23" s="1476">
        <f>IF('20'!$G$8="N",0,IF(F23=SUM('20'!E69:F69),0,"(F1.2,r100)= sum(F.20.2,r100,c10-20)"))</f>
        <v>0</v>
      </c>
      <c r="I23" s="822"/>
    </row>
    <row r="24" spans="1:9">
      <c r="A24" s="1156" t="str">
        <f t="shared" si="0"/>
        <v>F-01.02_110</v>
      </c>
      <c r="B24" s="363">
        <v>110</v>
      </c>
      <c r="C24" s="46" t="s">
        <v>4</v>
      </c>
      <c r="D24" s="14" t="s">
        <v>1567</v>
      </c>
      <c r="E24" s="57">
        <v>8</v>
      </c>
      <c r="F24" s="1065">
        <f>SUM($F$25:$F$27)</f>
        <v>0</v>
      </c>
      <c r="G24" s="1072">
        <f>IF($F$24='8'!$G$63,0,"f1.2,r110,c10=f8.1,r450,c30")</f>
        <v>0</v>
      </c>
      <c r="H24" s="1476">
        <f>IF('20'!$G$8="N",0,IF(F24=SUM('20'!E70:F70),0,"(F1.2,r110)= sum(F.20.2,r110,c10-20)"))</f>
        <v>0</v>
      </c>
      <c r="I24" s="822"/>
    </row>
    <row r="25" spans="1:9" ht="24.75" customHeight="1">
      <c r="A25" s="1156" t="str">
        <f t="shared" si="0"/>
        <v>F-01.02_120</v>
      </c>
      <c r="B25" s="363">
        <v>120</v>
      </c>
      <c r="C25" s="47" t="s">
        <v>15</v>
      </c>
      <c r="D25" s="14" t="s">
        <v>1568</v>
      </c>
      <c r="E25" s="57">
        <v>8</v>
      </c>
      <c r="F25" s="1065">
        <f>'8'!$G$19</f>
        <v>0</v>
      </c>
      <c r="G25" s="1829"/>
      <c r="H25" s="1476">
        <f>IF('20'!$G$8="N",0,IF(F25=SUM('20'!E71:F71),0,"(F1.2,r120)= sum(F.20.2,r120,c10-20)"))</f>
        <v>0</v>
      </c>
      <c r="I25" s="822"/>
    </row>
    <row r="26" spans="1:9">
      <c r="A26" s="1156" t="str">
        <f t="shared" si="0"/>
        <v>F-01.02_130</v>
      </c>
      <c r="B26" s="363">
        <v>130</v>
      </c>
      <c r="C26" s="47" t="s">
        <v>32</v>
      </c>
      <c r="D26" s="14" t="s">
        <v>1569</v>
      </c>
      <c r="E26" s="57">
        <v>8</v>
      </c>
      <c r="F26" s="1066"/>
      <c r="G26" s="1072">
        <f>IF($F$26='8'!$G$54,0,"f1.2,r130,c10=f8.1,r360,c30")</f>
        <v>0</v>
      </c>
      <c r="H26" s="1476">
        <f>IF('20'!$G$8="N",0,IF(F26=SUM('20'!E72:F72),0,"(F1.2,r130)= sum(F.20.2,r130,c10-20)"))</f>
        <v>0</v>
      </c>
      <c r="I26" s="822"/>
    </row>
    <row r="27" spans="1:9">
      <c r="A27" s="1156" t="str">
        <f t="shared" si="0"/>
        <v>F-01.02_140</v>
      </c>
      <c r="B27" s="361">
        <v>140</v>
      </c>
      <c r="C27" s="47" t="s">
        <v>48</v>
      </c>
      <c r="D27" s="14" t="s">
        <v>1570</v>
      </c>
      <c r="E27" s="57">
        <v>8</v>
      </c>
      <c r="F27" s="1065">
        <f>'8'!$G$62</f>
        <v>0</v>
      </c>
      <c r="G27" s="1829"/>
      <c r="H27" s="1476">
        <f>IF('20'!$G$8="N",0,IF(F27=SUM('20'!E73:F73),0,"(F1.2,r140)= sum(F.20.2,r140,c10-20)"))</f>
        <v>0</v>
      </c>
      <c r="I27" s="822"/>
    </row>
    <row r="28" spans="1:9" ht="24" customHeight="1">
      <c r="A28" s="1156" t="str">
        <f t="shared" si="0"/>
        <v>F-01.02_150</v>
      </c>
      <c r="B28" s="361">
        <v>150</v>
      </c>
      <c r="C28" s="46" t="s">
        <v>5</v>
      </c>
      <c r="D28" s="14" t="s">
        <v>1687</v>
      </c>
      <c r="E28" s="1612">
        <v>11</v>
      </c>
      <c r="F28" s="1465">
        <f>'8'!$H$63</f>
        <v>0</v>
      </c>
      <c r="G28" s="1829"/>
      <c r="H28" s="1476">
        <f>IF('20'!$G$8="N",0,IF(F28=SUM('20'!E74:F74),0,"(F1.2,r150)= sum(F.20.2,r150,c10-20)"))</f>
        <v>0</v>
      </c>
      <c r="I28" s="822"/>
    </row>
    <row r="29" spans="1:9" ht="21">
      <c r="A29" s="1156" t="str">
        <f t="shared" si="0"/>
        <v>F-01.02_160</v>
      </c>
      <c r="B29" s="363">
        <v>160</v>
      </c>
      <c r="C29" s="46" t="s">
        <v>112</v>
      </c>
      <c r="D29" s="14" t="s">
        <v>1688</v>
      </c>
      <c r="E29" s="1612"/>
      <c r="F29" s="1066"/>
      <c r="G29" s="1829"/>
      <c r="H29" s="1072"/>
      <c r="I29" s="822"/>
    </row>
    <row r="30" spans="1:9">
      <c r="A30" s="1156" t="str">
        <f t="shared" si="0"/>
        <v>F-01.02_170</v>
      </c>
      <c r="B30" s="363">
        <v>170</v>
      </c>
      <c r="C30" s="4" t="s">
        <v>6</v>
      </c>
      <c r="D30" s="14" t="s">
        <v>505</v>
      </c>
      <c r="E30" s="58">
        <v>43</v>
      </c>
      <c r="F30" s="1065">
        <f>SUM($F$31:$F$36)</f>
        <v>0</v>
      </c>
      <c r="G30" s="1072"/>
      <c r="H30" s="1476">
        <f>IF('20'!$G$8="N",0,IF(F30=SUM('20'!E76:F76),0,"(F1.2,r170)= sum(F.20.2,r170,c10-20)"))</f>
        <v>0</v>
      </c>
      <c r="I30" s="822"/>
    </row>
    <row r="31" spans="1:9">
      <c r="A31" s="1156" t="str">
        <f t="shared" si="0"/>
        <v>F-01.02_180</v>
      </c>
      <c r="B31" s="363">
        <v>180</v>
      </c>
      <c r="C31" s="6" t="s">
        <v>395</v>
      </c>
      <c r="D31" s="14" t="s">
        <v>1560</v>
      </c>
      <c r="E31" s="58">
        <v>43</v>
      </c>
      <c r="F31" s="932"/>
      <c r="G31" s="1829"/>
      <c r="H31" s="1829"/>
      <c r="I31" s="822"/>
    </row>
    <row r="32" spans="1:9" ht="21">
      <c r="A32" s="1156" t="str">
        <f t="shared" si="0"/>
        <v>F-01.02_190</v>
      </c>
      <c r="B32" s="363">
        <v>190</v>
      </c>
      <c r="C32" s="8" t="s">
        <v>460</v>
      </c>
      <c r="D32" s="14" t="s">
        <v>1561</v>
      </c>
      <c r="E32" s="58">
        <v>43</v>
      </c>
      <c r="F32" s="932"/>
      <c r="G32" s="1829"/>
      <c r="H32" s="1829"/>
      <c r="I32" s="822"/>
    </row>
    <row r="33" spans="1:9">
      <c r="A33" s="1156" t="str">
        <f t="shared" si="0"/>
        <v>F-01.02_200</v>
      </c>
      <c r="B33" s="363">
        <v>200</v>
      </c>
      <c r="C33" s="8" t="s">
        <v>7</v>
      </c>
      <c r="D33" s="14" t="s">
        <v>506</v>
      </c>
      <c r="E33" s="58">
        <v>43</v>
      </c>
      <c r="F33" s="932"/>
      <c r="G33" s="1829"/>
      <c r="H33" s="1829"/>
      <c r="I33" s="822"/>
    </row>
    <row r="34" spans="1:9">
      <c r="A34" s="1156" t="str">
        <f t="shared" si="0"/>
        <v>F-01.02_210</v>
      </c>
      <c r="B34" s="363">
        <v>210</v>
      </c>
      <c r="C34" s="8" t="s">
        <v>8</v>
      </c>
      <c r="D34" s="14" t="s">
        <v>36</v>
      </c>
      <c r="E34" s="58">
        <v>43</v>
      </c>
      <c r="F34" s="932"/>
      <c r="G34" s="1829"/>
      <c r="H34" s="1829"/>
      <c r="I34" s="822"/>
    </row>
    <row r="35" spans="1:9" ht="31.5">
      <c r="A35" s="1156" t="str">
        <f t="shared" si="0"/>
        <v>F-01.02_220</v>
      </c>
      <c r="B35" s="363">
        <v>220</v>
      </c>
      <c r="C35" s="8" t="s">
        <v>461</v>
      </c>
      <c r="D35" s="14" t="s">
        <v>2134</v>
      </c>
      <c r="E35" s="58" t="s">
        <v>2110</v>
      </c>
      <c r="F35" s="932"/>
      <c r="G35" s="1072">
        <f>IF(F35=SUM('9'!H15,'9'!I15,'9'!J15,'9'!L15,'9'!H23,'9'!I23,'9'!J23,'9'!L23,'9'!H31,'9'!I31,'9'!J31,'9'!L31),0,"{F 01.02, r220, c010} = xsum({F 09.01.1, (r010, r090, r170, c040, c050, c060, c110)})")</f>
        <v>0</v>
      </c>
      <c r="H35" s="1829"/>
      <c r="I35" s="822"/>
    </row>
    <row r="36" spans="1:9">
      <c r="A36" s="1156" t="str">
        <f t="shared" si="0"/>
        <v>F-01.02_230</v>
      </c>
      <c r="B36" s="361">
        <v>230</v>
      </c>
      <c r="C36" s="8" t="s">
        <v>9</v>
      </c>
      <c r="D36" s="14" t="s">
        <v>1408</v>
      </c>
      <c r="E36" s="58">
        <v>43</v>
      </c>
      <c r="F36" s="932"/>
      <c r="I36" s="822"/>
    </row>
    <row r="37" spans="1:9">
      <c r="A37" s="1156" t="str">
        <f t="shared" si="0"/>
        <v>F-01.02_240</v>
      </c>
      <c r="B37" s="363">
        <v>240</v>
      </c>
      <c r="C37" s="4" t="s">
        <v>10</v>
      </c>
      <c r="D37" s="14" t="s">
        <v>507</v>
      </c>
      <c r="E37" s="58"/>
      <c r="F37" s="1065">
        <f>SUM($F$38:$F$39)</f>
        <v>0</v>
      </c>
      <c r="I37" s="822"/>
    </row>
    <row r="38" spans="1:9">
      <c r="A38" s="1156" t="str">
        <f t="shared" si="0"/>
        <v>F-01.02_250</v>
      </c>
      <c r="B38" s="363">
        <v>250</v>
      </c>
      <c r="C38" s="5" t="s">
        <v>11</v>
      </c>
      <c r="D38" s="14" t="s">
        <v>508</v>
      </c>
      <c r="E38" s="58"/>
      <c r="F38" s="1028"/>
      <c r="I38" s="822"/>
    </row>
    <row r="39" spans="1:9">
      <c r="A39" s="1156" t="str">
        <f t="shared" si="0"/>
        <v>F-01.02_260</v>
      </c>
      <c r="B39" s="363">
        <v>260</v>
      </c>
      <c r="C39" s="1613" t="s">
        <v>12</v>
      </c>
      <c r="D39" s="14" t="s">
        <v>680</v>
      </c>
      <c r="E39" s="58"/>
      <c r="F39" s="932"/>
      <c r="I39" s="822"/>
    </row>
    <row r="40" spans="1:9">
      <c r="A40" s="1156" t="str">
        <f t="shared" si="0"/>
        <v>F-01.02_270</v>
      </c>
      <c r="B40" s="363">
        <v>270</v>
      </c>
      <c r="C40" s="46" t="s">
        <v>114</v>
      </c>
      <c r="D40" s="14" t="s">
        <v>1689</v>
      </c>
      <c r="E40" s="58"/>
      <c r="F40" s="924"/>
      <c r="I40" s="822"/>
    </row>
    <row r="41" spans="1:9">
      <c r="A41" s="1156" t="str">
        <f t="shared" si="0"/>
        <v>F-01.02_280</v>
      </c>
      <c r="B41" s="363">
        <v>280</v>
      </c>
      <c r="C41" s="1614" t="s">
        <v>13</v>
      </c>
      <c r="D41" s="14" t="s">
        <v>1690</v>
      </c>
      <c r="E41" s="75"/>
      <c r="F41" s="1067"/>
      <c r="I41" s="822"/>
    </row>
    <row r="42" spans="1:9">
      <c r="A42" s="1156" t="str">
        <f t="shared" si="0"/>
        <v>F-01.02_290</v>
      </c>
      <c r="B42" s="364">
        <v>290</v>
      </c>
      <c r="C42" s="1615" t="s">
        <v>14</v>
      </c>
      <c r="D42" s="1616" t="s">
        <v>1691</v>
      </c>
      <c r="E42" s="75"/>
      <c r="F42" s="1068"/>
      <c r="I42" s="822"/>
    </row>
    <row r="43" spans="1:9">
      <c r="A43" s="1156" t="str">
        <f t="shared" si="0"/>
        <v>F-01.02_300</v>
      </c>
      <c r="B43" s="376">
        <v>300</v>
      </c>
      <c r="C43" s="1617" t="s">
        <v>416</v>
      </c>
      <c r="D43" s="18" t="s">
        <v>49</v>
      </c>
      <c r="E43" s="1618"/>
      <c r="F43" s="1069">
        <f>$F$14+$F$20+$F$24+$F$28+$F$29+$F$30+$F$37+$F$40+$F$41+$F$42</f>
        <v>0</v>
      </c>
      <c r="I43" s="822"/>
    </row>
    <row r="44" spans="1:9">
      <c r="A44" s="1097" t="s">
        <v>718</v>
      </c>
      <c r="B44" s="1656"/>
      <c r="C44" s="1071"/>
      <c r="D44" s="1072">
        <f>IF('20'!$G$8="N",0,IF($F$37='20'!$E$77+'20'!$F$77,0,"f20.2,r180,c10+f20.2,r180,c20=f1.2,r240,c10"))</f>
        <v>0</v>
      </c>
      <c r="E44" s="822"/>
      <c r="F44" s="822"/>
    </row>
    <row r="45" spans="1:9">
      <c r="A45" s="1097" t="s">
        <v>718</v>
      </c>
      <c r="B45" s="1070"/>
      <c r="C45" s="1071"/>
      <c r="D45" s="1072">
        <f>IF('20'!$G$8="N",0,IF($F$40='20'!$E$78+'20'!$F$78,0,"f20.2,r190,c10+f20.2,r190,c20=f1.2,r270,c10"))</f>
        <v>0</v>
      </c>
    </row>
    <row r="46" spans="1:9">
      <c r="A46" s="1156" t="s">
        <v>724</v>
      </c>
      <c r="B46" s="1070"/>
      <c r="C46" s="1071"/>
      <c r="D46" s="1072">
        <f>IF('20'!$G$8="N",0,IF($F$41='20'!$E$79+'20'!$F$79,0,"f20.2,r200,c10+f20.2,r200,c20=f1.2,r280,c10"))</f>
        <v>0</v>
      </c>
    </row>
    <row r="47" spans="1:9">
      <c r="B47" s="1070"/>
      <c r="C47" s="1071"/>
      <c r="D47" s="1072">
        <f>IF('20'!$G$8="N",0,IF($F$42='20'!$E$80+'20'!$F$80,0,"f20.2,r210,c10+f20.2,r210,c20=f1.2,r290,c10"))</f>
        <v>0</v>
      </c>
    </row>
    <row r="48" spans="1:9">
      <c r="B48" s="1070"/>
      <c r="C48" s="1071"/>
      <c r="D48" s="1072">
        <f>IF('20'!$G$8="N",0,IF($F$43='20'!$E$81+'20'!$F$81,0,"f20.2,r220,c10+f20.2,r220,c20=f1.2,r300,c10"))</f>
        <v>0</v>
      </c>
    </row>
    <row r="49" spans="2:4">
      <c r="B49" s="1070"/>
      <c r="C49" s="1071"/>
      <c r="D49" s="822"/>
    </row>
    <row r="50" spans="2:4">
      <c r="B50" s="1070"/>
      <c r="C50" s="1071"/>
      <c r="D50" s="822"/>
    </row>
    <row r="51" spans="2:4">
      <c r="B51" s="1070"/>
      <c r="C51" s="1071"/>
      <c r="D51" s="1072"/>
    </row>
    <row r="52" spans="2:4">
      <c r="B52" s="1070"/>
      <c r="C52" s="1071"/>
      <c r="D52" s="822">
        <f>IF($F$21&gt;='8'!$E$78,0,"f8.2,r10,c10&lt;=f1.2,r80,c10")</f>
        <v>0</v>
      </c>
    </row>
    <row r="53" spans="2:4">
      <c r="B53" s="1070"/>
      <c r="C53" s="1071"/>
      <c r="D53" s="822">
        <f>IF($F$22&gt;='8'!$E$79,0,"f8.2,r20,c10&lt;=f1.2,r90,c10")</f>
        <v>0</v>
      </c>
    </row>
    <row r="54" spans="2:4">
      <c r="B54" s="1070"/>
      <c r="C54" s="1071"/>
      <c r="D54" s="822">
        <f>IF($F$20&gt;='8'!$E$80,0,"f8.2,r30,c10&lt;=f1.2,r70,c10")</f>
        <v>0</v>
      </c>
    </row>
    <row r="55" spans="2:4">
      <c r="B55" s="1070"/>
      <c r="C55" s="1071"/>
      <c r="D55" s="822">
        <f>IF($F$25&gt;='8'!$F$78,0,"f8.2,r10,c20&lt;=f1.2,r120,c10")</f>
        <v>0</v>
      </c>
    </row>
    <row r="56" spans="2:4">
      <c r="B56" s="1070"/>
      <c r="C56" s="1071"/>
      <c r="D56" s="822">
        <f>IF($F$26&gt;='8'!$F$79,0,"f8.2,r20,c20&lt;=f1.2,r130,c10")</f>
        <v>0</v>
      </c>
    </row>
    <row r="57" spans="2:4">
      <c r="B57" s="1070"/>
      <c r="C57" s="1071"/>
      <c r="D57" s="822">
        <f>IF($F$24&gt;='8'!$F$80,0,"f8.2,r30,c20&lt;=f1.2,r110,c10")</f>
        <v>0</v>
      </c>
    </row>
    <row r="58" spans="2:4">
      <c r="B58" s="1070"/>
      <c r="C58" s="1071"/>
      <c r="D58" s="822"/>
    </row>
    <row r="59" spans="2:4">
      <c r="B59" s="1070"/>
      <c r="C59" s="1071"/>
    </row>
    <row r="60" spans="2:4">
      <c r="B60" s="1070"/>
      <c r="C60" s="1071"/>
    </row>
    <row r="61" spans="2:4">
      <c r="B61" s="1071"/>
      <c r="C61" s="1073"/>
    </row>
  </sheetData>
  <sheetProtection password="C2F4" sheet="1" objects="1" scenarios="1"/>
  <mergeCells count="2">
    <mergeCell ref="C11:C13"/>
    <mergeCell ref="B11:B13"/>
  </mergeCells>
  <dataValidations count="1">
    <dataValidation type="whole" allowBlank="1" showInputMessage="1" showErrorMessage="1" error="wrong number format or sign" sqref="F14:F43">
      <formula1>0</formula1>
      <formula2>99999999</formula2>
    </dataValidation>
  </dataValidations>
  <printOptions horizontalCentered="1" headings="1" gridLines="1"/>
  <pageMargins left="0.51181102362204722" right="0.35433070866141736" top="0.39370078740157483" bottom="0.43307086614173229" header="0.27559055118110237" footer="0.35433070866141736"/>
  <pageSetup paperSize="9" scale="58" orientation="landscape" cellComments="asDisplayed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O58"/>
  <sheetViews>
    <sheetView topLeftCell="B7" zoomScaleNormal="100" zoomScaleSheetLayoutView="100" workbookViewId="0">
      <selection activeCell="B7" sqref="B7"/>
    </sheetView>
  </sheetViews>
  <sheetFormatPr defaultColWidth="9.140625" defaultRowHeight="12.75"/>
  <cols>
    <col min="1" max="1" width="13.5703125" style="1156" hidden="1" customWidth="1"/>
    <col min="2" max="2" width="4.7109375" style="996" bestFit="1" customWidth="1"/>
    <col min="3" max="3" width="61.28515625" style="997" customWidth="1"/>
    <col min="4" max="4" width="26.7109375" style="995" customWidth="1"/>
    <col min="5" max="5" width="5.140625" style="995" bestFit="1" customWidth="1"/>
    <col min="6" max="6" width="14.42578125" style="995" customWidth="1"/>
    <col min="7" max="7" width="26.42578125" style="995" customWidth="1"/>
    <col min="8" max="8" width="11.7109375" style="995" customWidth="1"/>
    <col min="9" max="9" width="42.140625" style="995" customWidth="1"/>
    <col min="10" max="16384" width="9.140625" style="995"/>
  </cols>
  <sheetData>
    <row r="1" spans="1:15" s="1097" customFormat="1" ht="18" hidden="1" customHeight="1">
      <c r="A1" s="1096" t="s">
        <v>1233</v>
      </c>
      <c r="B1" s="1118">
        <v>2</v>
      </c>
      <c r="C1" s="1118">
        <v>1</v>
      </c>
      <c r="D1" s="1119">
        <v>14</v>
      </c>
      <c r="E1" s="1182">
        <v>6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15" s="1097" customFormat="1" ht="18" hidden="1" customHeight="1">
      <c r="A2" s="1096" t="str">
        <f>Index!$A$2</f>
        <v>V20181222</v>
      </c>
      <c r="B2" s="1098"/>
      <c r="C2" s="1099"/>
      <c r="D2" s="1100"/>
      <c r="E2" s="1100"/>
      <c r="F2" s="1100" t="str">
        <f>$A$1&amp;"_"&amp;F13</f>
        <v>F-01.03_010</v>
      </c>
      <c r="G2" s="1100"/>
      <c r="H2" s="1100"/>
      <c r="I2" s="1100"/>
      <c r="J2" s="1100"/>
      <c r="K2" s="1100"/>
      <c r="L2" s="1100"/>
      <c r="M2" s="1100"/>
      <c r="N2" s="1101"/>
    </row>
    <row r="3" spans="1:15" s="1097" customFormat="1" ht="18" hidden="1" customHeight="1">
      <c r="A3" s="1096" t="str">
        <f>"R:A1:P"&amp;ROW(A55)+1</f>
        <v>R:A1:P56</v>
      </c>
      <c r="B3" s="1102"/>
      <c r="C3" s="1103"/>
      <c r="D3" s="1104"/>
      <c r="E3" s="1105"/>
      <c r="F3" s="1106"/>
      <c r="G3" s="1107"/>
      <c r="H3" s="1107"/>
      <c r="I3" s="1107"/>
      <c r="J3" s="1107"/>
      <c r="K3" s="1107"/>
    </row>
    <row r="4" spans="1:15" s="1097" customFormat="1" ht="18" hidden="1" customHeight="1">
      <c r="A4" s="1096"/>
      <c r="B4" s="1102"/>
      <c r="C4" s="1103"/>
      <c r="D4" s="1108"/>
      <c r="E4" s="1109"/>
      <c r="F4" s="1110"/>
      <c r="G4" s="1111">
        <f>N5</f>
        <v>0</v>
      </c>
      <c r="H4" s="1107"/>
      <c r="I4" s="1107"/>
      <c r="J4" s="1107"/>
      <c r="K4" s="1107"/>
    </row>
    <row r="5" spans="1:15" s="1097" customFormat="1" ht="18" hidden="1" customHeight="1">
      <c r="A5" s="1096"/>
      <c r="B5" s="1102"/>
      <c r="C5" s="1103"/>
      <c r="D5" s="1112"/>
      <c r="E5" s="1113"/>
      <c r="F5" s="1114"/>
      <c r="N5" s="1097">
        <f>COUNTIF(G8:I112,"&lt;&gt;0")-COUNTBLANK(G8:I112)+COUNTIF(C55:F65,"&lt;&gt;0")-COUNTBLANK(C55:F65)</f>
        <v>0</v>
      </c>
    </row>
    <row r="6" spans="1:15" s="1116" customFormat="1" hidden="1">
      <c r="A6" s="1100" t="s">
        <v>718</v>
      </c>
      <c r="B6" s="1115"/>
    </row>
    <row r="7" spans="1:15">
      <c r="A7" s="1100" t="s">
        <v>718</v>
      </c>
    </row>
    <row r="8" spans="1:15">
      <c r="A8" s="1100" t="s">
        <v>718</v>
      </c>
      <c r="B8" s="998" t="s">
        <v>556</v>
      </c>
    </row>
    <row r="9" spans="1:15">
      <c r="A9" s="1100" t="s">
        <v>718</v>
      </c>
      <c r="B9" s="999"/>
      <c r="D9" s="1000"/>
      <c r="E9" s="1000"/>
    </row>
    <row r="10" spans="1:15">
      <c r="A10" s="1100" t="s">
        <v>718</v>
      </c>
      <c r="B10" s="999" t="s">
        <v>671</v>
      </c>
      <c r="D10" s="1001"/>
      <c r="E10" s="1000"/>
    </row>
    <row r="11" spans="1:15">
      <c r="A11" s="1100" t="s">
        <v>718</v>
      </c>
      <c r="C11" s="1002"/>
      <c r="D11" s="1003"/>
      <c r="E11" s="1000"/>
    </row>
    <row r="12" spans="1:15" ht="60.75" customHeight="1">
      <c r="A12" s="1100" t="s">
        <v>718</v>
      </c>
      <c r="B12" s="1004"/>
      <c r="C12" s="1005"/>
      <c r="D12" s="1006" t="s">
        <v>551</v>
      </c>
      <c r="E12" s="1007" t="s">
        <v>115</v>
      </c>
      <c r="F12" s="1008" t="s">
        <v>57</v>
      </c>
      <c r="G12" s="1009"/>
      <c r="H12" s="1009"/>
      <c r="I12" s="1010"/>
    </row>
    <row r="13" spans="1:15">
      <c r="A13" s="1100" t="s">
        <v>718</v>
      </c>
      <c r="B13" s="1011"/>
      <c r="C13" s="1012"/>
      <c r="D13" s="1013"/>
      <c r="E13" s="1014"/>
      <c r="F13" s="1015" t="s">
        <v>292</v>
      </c>
      <c r="G13" s="1009"/>
      <c r="H13" s="1009"/>
      <c r="I13" s="1010"/>
    </row>
    <row r="14" spans="1:15">
      <c r="A14" s="1156" t="str">
        <f t="shared" ref="A14:A54" si="0">$A$1&amp;"_"&amp;B14</f>
        <v>F-01.03_010</v>
      </c>
      <c r="B14" s="1016" t="s">
        <v>292</v>
      </c>
      <c r="C14" s="1017" t="s">
        <v>209</v>
      </c>
      <c r="D14" s="1018" t="s">
        <v>509</v>
      </c>
      <c r="E14" s="1019">
        <v>46</v>
      </c>
      <c r="F14" s="1020">
        <f>$F$15+$F$16</f>
        <v>0</v>
      </c>
      <c r="G14" s="1009"/>
      <c r="H14" s="1009">
        <f>IF($F$14&gt;=0,0,"f1.3&gt;=0")</f>
        <v>0</v>
      </c>
      <c r="I14" s="1021"/>
    </row>
    <row r="15" spans="1:15">
      <c r="A15" s="1156" t="str">
        <f t="shared" si="0"/>
        <v>F-01.03_020</v>
      </c>
      <c r="B15" s="1022" t="s">
        <v>293</v>
      </c>
      <c r="C15" s="1023" t="s">
        <v>78</v>
      </c>
      <c r="D15" s="1024" t="s">
        <v>510</v>
      </c>
      <c r="E15" s="1025"/>
      <c r="F15" s="1026"/>
      <c r="G15" s="1009"/>
      <c r="H15" s="1009">
        <f>IF($F$15&gt;=0,0,"f1.3&gt;=0")</f>
        <v>0</v>
      </c>
      <c r="I15" s="1010"/>
    </row>
    <row r="16" spans="1:15">
      <c r="A16" s="1156" t="str">
        <f t="shared" si="0"/>
        <v>F-01.03_030</v>
      </c>
      <c r="B16" s="1022" t="s">
        <v>294</v>
      </c>
      <c r="C16" s="1023" t="s">
        <v>37</v>
      </c>
      <c r="D16" s="1024" t="s">
        <v>2124</v>
      </c>
      <c r="E16" s="1027"/>
      <c r="F16" s="1028"/>
      <c r="G16" s="1009"/>
      <c r="H16" s="1009">
        <f>IF($F$16&gt;=0,0,"f1.3&gt;=0")</f>
        <v>0</v>
      </c>
      <c r="I16" s="1010"/>
    </row>
    <row r="17" spans="1:9" ht="21">
      <c r="A17" s="1156" t="str">
        <f t="shared" si="0"/>
        <v>F-01.03_040</v>
      </c>
      <c r="B17" s="1029" t="s">
        <v>295</v>
      </c>
      <c r="C17" s="1030" t="s">
        <v>38</v>
      </c>
      <c r="D17" s="1031" t="s">
        <v>683</v>
      </c>
      <c r="E17" s="1032">
        <v>46</v>
      </c>
      <c r="F17" s="1028"/>
      <c r="G17" s="1009"/>
      <c r="H17" s="1009">
        <f>IF($F$17&gt;=0,0,"f1.3&gt;=0")</f>
        <v>0</v>
      </c>
      <c r="I17" s="1010"/>
    </row>
    <row r="18" spans="1:9">
      <c r="A18" s="1156" t="str">
        <f t="shared" si="0"/>
        <v>F-01.03_050</v>
      </c>
      <c r="B18" s="1033" t="s">
        <v>296</v>
      </c>
      <c r="C18" s="1030" t="s">
        <v>430</v>
      </c>
      <c r="D18" s="1031" t="s">
        <v>1751</v>
      </c>
      <c r="E18" s="1034">
        <v>46</v>
      </c>
      <c r="F18" s="859">
        <f>$F$19+$F$20</f>
        <v>0</v>
      </c>
      <c r="G18" s="1009"/>
      <c r="H18" s="1009">
        <f>IF($F$18&gt;=0,0,"f1.3&gt;=0")</f>
        <v>0</v>
      </c>
      <c r="I18" s="1010"/>
    </row>
    <row r="19" spans="1:9" ht="24.75" customHeight="1">
      <c r="A19" s="1156" t="str">
        <f t="shared" si="0"/>
        <v>F-01.03_060</v>
      </c>
      <c r="B19" s="1035" t="s">
        <v>297</v>
      </c>
      <c r="C19" s="1036" t="s">
        <v>39</v>
      </c>
      <c r="D19" s="1031" t="s">
        <v>2125</v>
      </c>
      <c r="E19" s="1034"/>
      <c r="F19" s="1028"/>
      <c r="G19" s="1009"/>
      <c r="H19" s="1009">
        <f>IF($F$19&gt;=0,0,"f1.3&gt;=0")</f>
        <v>0</v>
      </c>
      <c r="I19" s="1010"/>
    </row>
    <row r="20" spans="1:9">
      <c r="A20" s="1156" t="str">
        <f t="shared" si="0"/>
        <v>F-01.03_070</v>
      </c>
      <c r="B20" s="1035" t="s">
        <v>298</v>
      </c>
      <c r="C20" s="1036" t="s">
        <v>463</v>
      </c>
      <c r="D20" s="1031" t="s">
        <v>596</v>
      </c>
      <c r="E20" s="1034"/>
      <c r="F20" s="1028"/>
      <c r="G20" s="1009"/>
      <c r="H20" s="1009">
        <f>IF($F$20&gt;=0,0,"f1.3&gt;=0")</f>
        <v>0</v>
      </c>
      <c r="I20" s="1010"/>
    </row>
    <row r="21" spans="1:9">
      <c r="A21" s="1156" t="str">
        <f t="shared" si="0"/>
        <v>F-01.03_080</v>
      </c>
      <c r="B21" s="1022" t="s">
        <v>299</v>
      </c>
      <c r="C21" s="1037" t="s">
        <v>428</v>
      </c>
      <c r="D21" s="1031" t="s">
        <v>1752</v>
      </c>
      <c r="E21" s="1034"/>
      <c r="F21" s="1041"/>
      <c r="G21" s="1009"/>
      <c r="H21" s="1009"/>
      <c r="I21" s="1010"/>
    </row>
    <row r="22" spans="1:9">
      <c r="A22" s="1156" t="str">
        <f t="shared" si="0"/>
        <v>F-01.03_090</v>
      </c>
      <c r="B22" s="1022" t="s">
        <v>300</v>
      </c>
      <c r="C22" s="1030" t="s">
        <v>364</v>
      </c>
      <c r="D22" s="1024" t="s">
        <v>684</v>
      </c>
      <c r="E22" s="1032">
        <v>46</v>
      </c>
      <c r="F22" s="859">
        <f>$F$23+$F$34</f>
        <v>0</v>
      </c>
      <c r="G22" s="1009"/>
      <c r="H22" s="1009"/>
      <c r="I22" s="1010"/>
    </row>
    <row r="23" spans="1:9">
      <c r="A23" s="1156" t="str">
        <f t="shared" si="0"/>
        <v>F-01.03_095</v>
      </c>
      <c r="B23" s="1035" t="s">
        <v>435</v>
      </c>
      <c r="C23" s="1038" t="s">
        <v>256</v>
      </c>
      <c r="D23" s="1031" t="s">
        <v>504</v>
      </c>
      <c r="E23" s="1032"/>
      <c r="F23" s="859">
        <f>SUM($F$24:$F$30)+$F$33</f>
        <v>0</v>
      </c>
      <c r="G23" s="1009"/>
      <c r="H23" s="1009"/>
      <c r="I23" s="1010"/>
    </row>
    <row r="24" spans="1:9">
      <c r="A24" s="1156" t="str">
        <f t="shared" si="0"/>
        <v>F-01.03_100</v>
      </c>
      <c r="B24" s="1022" t="s">
        <v>301</v>
      </c>
      <c r="C24" s="1039" t="s">
        <v>64</v>
      </c>
      <c r="D24" s="1031" t="s">
        <v>52</v>
      </c>
      <c r="E24" s="1032"/>
      <c r="F24" s="1041"/>
      <c r="G24" s="1009"/>
      <c r="H24" s="1009"/>
      <c r="I24" s="1010"/>
    </row>
    <row r="25" spans="1:9">
      <c r="A25" s="1156" t="str">
        <f t="shared" si="0"/>
        <v>F-01.03_110</v>
      </c>
      <c r="B25" s="1022" t="s">
        <v>302</v>
      </c>
      <c r="C25" s="1039" t="s">
        <v>67</v>
      </c>
      <c r="D25" s="1031" t="s">
        <v>53</v>
      </c>
      <c r="E25" s="1032"/>
      <c r="F25" s="1041"/>
      <c r="G25" s="1009"/>
      <c r="H25" s="1009"/>
      <c r="I25" s="1010"/>
    </row>
    <row r="26" spans="1:9">
      <c r="A26" s="1156" t="str">
        <f t="shared" si="0"/>
        <v>F-01.03_120</v>
      </c>
      <c r="B26" s="1022" t="s">
        <v>303</v>
      </c>
      <c r="C26" s="1039" t="s">
        <v>411</v>
      </c>
      <c r="D26" s="1031" t="s">
        <v>2065</v>
      </c>
      <c r="E26" s="1034"/>
      <c r="F26" s="1041"/>
      <c r="G26" s="1009"/>
      <c r="H26" s="1009"/>
      <c r="I26" s="1010"/>
    </row>
    <row r="27" spans="1:9">
      <c r="A27" s="1156" t="str">
        <f t="shared" si="0"/>
        <v>F-01.03_122</v>
      </c>
      <c r="B27" s="1022">
        <v>122</v>
      </c>
      <c r="C27" s="1040" t="s">
        <v>75</v>
      </c>
      <c r="D27" s="1031" t="s">
        <v>50</v>
      </c>
      <c r="E27" s="1032"/>
      <c r="F27" s="1041"/>
      <c r="G27" s="1009"/>
      <c r="H27" s="1009"/>
      <c r="I27" s="1010"/>
    </row>
    <row r="28" spans="1:9" ht="21">
      <c r="A28" s="1156" t="str">
        <f t="shared" si="0"/>
        <v>F-01.03_124</v>
      </c>
      <c r="B28" s="1022">
        <v>124</v>
      </c>
      <c r="C28" s="1040" t="s">
        <v>341</v>
      </c>
      <c r="D28" s="1031" t="s">
        <v>2066</v>
      </c>
      <c r="E28" s="1032"/>
      <c r="F28" s="1041"/>
      <c r="G28" s="1009"/>
      <c r="H28" s="1009"/>
      <c r="I28" s="1010"/>
    </row>
    <row r="29" spans="1:9" ht="21">
      <c r="A29" s="1156" t="str">
        <f t="shared" si="0"/>
        <v>F-01.03_320</v>
      </c>
      <c r="B29" s="361">
        <v>320</v>
      </c>
      <c r="C29" s="1704" t="s">
        <v>2112</v>
      </c>
      <c r="D29" s="14" t="s">
        <v>2113</v>
      </c>
      <c r="E29" s="1032"/>
      <c r="F29" s="1041"/>
      <c r="G29" s="1009"/>
      <c r="H29" s="1009"/>
      <c r="I29" s="1010"/>
    </row>
    <row r="30" spans="1:9" ht="31.5">
      <c r="A30" s="1156" t="str">
        <f t="shared" si="0"/>
        <v>F-01.03_330</v>
      </c>
      <c r="B30" s="361">
        <v>330</v>
      </c>
      <c r="C30" s="1704" t="s">
        <v>2114</v>
      </c>
      <c r="D30" s="14" t="s">
        <v>2115</v>
      </c>
      <c r="E30" s="1032"/>
      <c r="F30" s="1041"/>
      <c r="G30" s="1009"/>
      <c r="H30" s="1009"/>
      <c r="I30" s="1010"/>
    </row>
    <row r="31" spans="1:9" ht="21">
      <c r="A31" s="1156" t="str">
        <f t="shared" si="0"/>
        <v>F-01.03_340</v>
      </c>
      <c r="B31" s="1705">
        <v>340</v>
      </c>
      <c r="C31" s="1706" t="s">
        <v>2047</v>
      </c>
      <c r="D31" s="14" t="s">
        <v>2116</v>
      </c>
      <c r="E31" s="1032"/>
      <c r="F31" s="1041"/>
      <c r="G31" s="1009"/>
      <c r="H31" s="1009"/>
      <c r="I31" s="1010"/>
    </row>
    <row r="32" spans="1:9" ht="31.5">
      <c r="A32" s="1156" t="str">
        <f t="shared" si="0"/>
        <v>F-01.03_350</v>
      </c>
      <c r="B32" s="1705">
        <v>350</v>
      </c>
      <c r="C32" s="1706" t="s">
        <v>2048</v>
      </c>
      <c r="D32" s="14" t="s">
        <v>2118</v>
      </c>
      <c r="E32" s="1032"/>
      <c r="F32" s="1041"/>
      <c r="G32" s="1009"/>
      <c r="H32" s="1009"/>
      <c r="I32" s="1010"/>
    </row>
    <row r="33" spans="1:9" ht="21">
      <c r="A33" s="1156" t="str">
        <f t="shared" si="0"/>
        <v>F-01.03_360</v>
      </c>
      <c r="B33" s="361">
        <v>360</v>
      </c>
      <c r="C33" s="1704" t="s">
        <v>2117</v>
      </c>
      <c r="D33" s="14" t="s">
        <v>2119</v>
      </c>
      <c r="E33" s="1032"/>
      <c r="F33" s="1041"/>
      <c r="G33" s="1009"/>
      <c r="H33" s="1009"/>
      <c r="I33" s="1010"/>
    </row>
    <row r="34" spans="1:9">
      <c r="A34" s="1156" t="str">
        <f t="shared" si="0"/>
        <v>F-01.03_128</v>
      </c>
      <c r="B34" s="1022">
        <v>128</v>
      </c>
      <c r="C34" s="1707" t="s">
        <v>257</v>
      </c>
      <c r="D34" s="1031" t="s">
        <v>2126</v>
      </c>
      <c r="E34" s="1032"/>
      <c r="F34" s="859">
        <f>SUM($F$35:$F$41)</f>
        <v>0</v>
      </c>
      <c r="G34" s="1009"/>
      <c r="H34" s="1009"/>
      <c r="I34" s="1010"/>
    </row>
    <row r="35" spans="1:9" ht="42">
      <c r="A35" s="1156" t="str">
        <f t="shared" si="0"/>
        <v>F-01.03_130</v>
      </c>
      <c r="B35" s="1033" t="s">
        <v>304</v>
      </c>
      <c r="C35" s="1042" t="s">
        <v>195</v>
      </c>
      <c r="D35" s="1031" t="s">
        <v>2127</v>
      </c>
      <c r="E35" s="1032"/>
      <c r="F35" s="1041"/>
      <c r="G35" s="1009"/>
      <c r="H35" s="1009"/>
      <c r="I35" s="1010"/>
    </row>
    <row r="36" spans="1:9" ht="21">
      <c r="A36" s="1156" t="str">
        <f t="shared" si="0"/>
        <v>F-01.03_140</v>
      </c>
      <c r="B36" s="1033" t="s">
        <v>305</v>
      </c>
      <c r="C36" s="1042" t="s">
        <v>33</v>
      </c>
      <c r="D36" s="1031" t="s">
        <v>511</v>
      </c>
      <c r="E36" s="1032"/>
      <c r="F36" s="1041"/>
      <c r="G36" s="1009"/>
      <c r="H36" s="1009"/>
      <c r="I36" s="1010"/>
    </row>
    <row r="37" spans="1:9" ht="52.5">
      <c r="A37" s="1156" t="str">
        <f t="shared" si="0"/>
        <v>F-01.03_150</v>
      </c>
      <c r="B37" s="1033" t="s">
        <v>306</v>
      </c>
      <c r="C37" s="1039" t="s">
        <v>340</v>
      </c>
      <c r="D37" s="1031" t="s">
        <v>2128</v>
      </c>
      <c r="E37" s="1032"/>
      <c r="F37" s="1041"/>
      <c r="G37" s="1009"/>
      <c r="H37" s="1009"/>
      <c r="I37" s="1010"/>
    </row>
    <row r="38" spans="1:9" ht="21">
      <c r="A38" s="1156" t="str">
        <f t="shared" si="0"/>
        <v>F-01.03_155</v>
      </c>
      <c r="B38" s="361">
        <v>155</v>
      </c>
      <c r="C38" s="1704" t="s">
        <v>2120</v>
      </c>
      <c r="D38" s="14" t="s">
        <v>2121</v>
      </c>
      <c r="E38" s="1032"/>
      <c r="F38" s="1041"/>
      <c r="G38" s="1009"/>
      <c r="H38" s="1009"/>
      <c r="I38" s="1010"/>
    </row>
    <row r="39" spans="1:9" ht="31.5">
      <c r="A39" s="1156" t="str">
        <f t="shared" si="0"/>
        <v>F-01.03_165</v>
      </c>
      <c r="B39" s="361">
        <v>165</v>
      </c>
      <c r="C39" s="1704" t="s">
        <v>2122</v>
      </c>
      <c r="D39" s="115" t="s">
        <v>2123</v>
      </c>
      <c r="E39" s="1032"/>
      <c r="F39" s="1041"/>
      <c r="G39" s="1009"/>
      <c r="H39" s="1009"/>
      <c r="I39" s="1010"/>
    </row>
    <row r="40" spans="1:9" ht="28.5" customHeight="1">
      <c r="A40" s="1156" t="str">
        <f t="shared" si="0"/>
        <v>F-01.03_170</v>
      </c>
      <c r="B40" s="1022" t="s">
        <v>308</v>
      </c>
      <c r="C40" s="1708" t="s">
        <v>75</v>
      </c>
      <c r="D40" s="1031" t="s">
        <v>50</v>
      </c>
      <c r="E40" s="1032"/>
      <c r="F40" s="1041"/>
      <c r="G40" s="1009"/>
      <c r="H40" s="1009"/>
      <c r="I40" s="1010"/>
    </row>
    <row r="41" spans="1:9" ht="24.75" customHeight="1">
      <c r="A41" s="1156" t="str">
        <f t="shared" si="0"/>
        <v>F-01.03_180</v>
      </c>
      <c r="B41" s="1033" t="s">
        <v>309</v>
      </c>
      <c r="C41" s="1039" t="s">
        <v>341</v>
      </c>
      <c r="D41" s="1031" t="s">
        <v>2066</v>
      </c>
      <c r="E41" s="1032"/>
      <c r="F41" s="1041"/>
      <c r="G41" s="1009"/>
      <c r="H41" s="1009"/>
      <c r="I41" s="1010"/>
    </row>
    <row r="42" spans="1:9">
      <c r="A42" s="1156" t="str">
        <f t="shared" si="0"/>
        <v>F-01.03_190</v>
      </c>
      <c r="B42" s="1033">
        <v>190</v>
      </c>
      <c r="C42" s="1037" t="s">
        <v>116</v>
      </c>
      <c r="D42" s="1031" t="s">
        <v>685</v>
      </c>
      <c r="E42" s="1043"/>
      <c r="F42" s="1041"/>
      <c r="G42" s="1009"/>
      <c r="H42" s="1009"/>
      <c r="I42" s="1010"/>
    </row>
    <row r="43" spans="1:9" ht="21">
      <c r="A43" s="1156" t="str">
        <f t="shared" si="0"/>
        <v>F-01.03_200</v>
      </c>
      <c r="B43" s="1033">
        <v>200</v>
      </c>
      <c r="C43" s="1037" t="s">
        <v>79</v>
      </c>
      <c r="D43" s="1044" t="s">
        <v>2129</v>
      </c>
      <c r="E43" s="1043"/>
      <c r="F43" s="1041"/>
      <c r="G43" s="1009"/>
      <c r="H43" s="1009"/>
      <c r="I43" s="1010"/>
    </row>
    <row r="44" spans="1:9">
      <c r="A44" s="1156" t="str">
        <f t="shared" si="0"/>
        <v>F-01.03_210</v>
      </c>
      <c r="B44" s="1033">
        <v>210</v>
      </c>
      <c r="C44" s="1030" t="s">
        <v>342</v>
      </c>
      <c r="D44" s="1031" t="s">
        <v>512</v>
      </c>
      <c r="E44" s="1032"/>
      <c r="F44" s="859">
        <f>$F$46+$F$45</f>
        <v>0</v>
      </c>
      <c r="G44" s="1009"/>
      <c r="H44" s="1009"/>
      <c r="I44" s="1010"/>
    </row>
    <row r="45" spans="1:9" ht="21">
      <c r="A45" s="1156" t="str">
        <f t="shared" si="0"/>
        <v>F-01.03_220</v>
      </c>
      <c r="B45" s="1033">
        <v>220</v>
      </c>
      <c r="C45" s="1023" t="s">
        <v>343</v>
      </c>
      <c r="D45" s="1031" t="s">
        <v>2130</v>
      </c>
      <c r="E45" s="1032"/>
      <c r="F45" s="1041"/>
      <c r="G45" s="1009"/>
      <c r="H45" s="1009"/>
      <c r="I45" s="1010"/>
    </row>
    <row r="46" spans="1:9" ht="33" customHeight="1">
      <c r="A46" s="1156" t="str">
        <f t="shared" si="0"/>
        <v>F-01.03_230</v>
      </c>
      <c r="B46" s="1033">
        <v>230</v>
      </c>
      <c r="C46" s="1023" t="s">
        <v>44</v>
      </c>
      <c r="D46" s="1031" t="s">
        <v>2131</v>
      </c>
      <c r="E46" s="1032"/>
      <c r="F46" s="1041"/>
      <c r="G46" s="1009"/>
      <c r="H46" s="1009"/>
      <c r="I46" s="1010"/>
    </row>
    <row r="47" spans="1:9" ht="31.5">
      <c r="A47" s="1156" t="str">
        <f t="shared" si="0"/>
        <v>F-01.03_240</v>
      </c>
      <c r="B47" s="1033">
        <v>240</v>
      </c>
      <c r="C47" s="1030" t="s">
        <v>344</v>
      </c>
      <c r="D47" s="1031" t="s">
        <v>2132</v>
      </c>
      <c r="E47" s="1034">
        <v>46</v>
      </c>
      <c r="F47" s="947"/>
      <c r="G47" s="1009">
        <f>IF($F$47&lt;=0,0,"f1.3&lt;=0")</f>
        <v>0</v>
      </c>
      <c r="H47" s="1009"/>
      <c r="I47" s="1010"/>
    </row>
    <row r="48" spans="1:9">
      <c r="A48" s="1156" t="str">
        <f t="shared" si="0"/>
        <v>F-01.03_250</v>
      </c>
      <c r="B48" s="1033">
        <v>250</v>
      </c>
      <c r="C48" s="1030" t="s">
        <v>429</v>
      </c>
      <c r="D48" s="1031" t="s">
        <v>690</v>
      </c>
      <c r="E48" s="1032">
        <v>2</v>
      </c>
      <c r="F48" s="986">
        <f>'2'!$F$83</f>
        <v>0</v>
      </c>
      <c r="G48" s="1009"/>
      <c r="H48" s="1009"/>
      <c r="I48" s="1021"/>
    </row>
    <row r="49" spans="1:9">
      <c r="A49" s="1156" t="str">
        <f t="shared" si="0"/>
        <v>F-01.03_260</v>
      </c>
      <c r="B49" s="1033">
        <v>260</v>
      </c>
      <c r="C49" s="1030" t="s">
        <v>345</v>
      </c>
      <c r="D49" s="1031" t="s">
        <v>0</v>
      </c>
      <c r="E49" s="1032"/>
      <c r="F49" s="947"/>
      <c r="G49" s="1009">
        <f>IF($F$49&lt;=0,0,"f1.3&lt;=0")</f>
        <v>0</v>
      </c>
      <c r="H49" s="1009"/>
      <c r="I49" s="1021"/>
    </row>
    <row r="50" spans="1:9">
      <c r="A50" s="1156" t="str">
        <f t="shared" si="0"/>
        <v>F-01.03_270</v>
      </c>
      <c r="B50" s="1033">
        <v>270</v>
      </c>
      <c r="C50" s="1030" t="s">
        <v>40</v>
      </c>
      <c r="D50" s="1031" t="s">
        <v>2133</v>
      </c>
      <c r="E50" s="1032"/>
      <c r="F50" s="986">
        <f>$F$51+$F$52</f>
        <v>0</v>
      </c>
      <c r="G50" s="1009"/>
      <c r="H50" s="1009"/>
      <c r="I50" s="1021"/>
    </row>
    <row r="51" spans="1:9">
      <c r="A51" s="1156" t="str">
        <f t="shared" si="0"/>
        <v>F-01.03_280</v>
      </c>
      <c r="B51" s="1033">
        <v>280</v>
      </c>
      <c r="C51" s="1045" t="s">
        <v>339</v>
      </c>
      <c r="D51" s="1031" t="s">
        <v>684</v>
      </c>
      <c r="E51" s="1032">
        <v>46</v>
      </c>
      <c r="F51" s="1041"/>
      <c r="G51" s="1009"/>
      <c r="H51" s="1009"/>
      <c r="I51" s="1021"/>
    </row>
    <row r="52" spans="1:9">
      <c r="A52" s="1156" t="str">
        <f t="shared" si="0"/>
        <v>F-01.03_290</v>
      </c>
      <c r="B52" s="1033">
        <v>290</v>
      </c>
      <c r="C52" s="1046" t="s">
        <v>35</v>
      </c>
      <c r="D52" s="1047"/>
      <c r="E52" s="1048">
        <v>46</v>
      </c>
      <c r="F52" s="1041"/>
      <c r="G52" s="1009"/>
      <c r="H52" s="1009"/>
      <c r="I52" s="1021"/>
    </row>
    <row r="53" spans="1:9">
      <c r="A53" s="1156" t="str">
        <f t="shared" si="0"/>
        <v>F-01.03_300</v>
      </c>
      <c r="B53" s="1050">
        <v>300</v>
      </c>
      <c r="C53" s="1051" t="s">
        <v>417</v>
      </c>
      <c r="D53" s="1052" t="s">
        <v>513</v>
      </c>
      <c r="E53" s="1053">
        <v>46</v>
      </c>
      <c r="F53" s="986">
        <f>$F$14+$F$17+$F$18+$F$21+$F$22+$F$42+$F$43+$F$44+$F$47+$F$48+$F$49+$F$50</f>
        <v>0</v>
      </c>
      <c r="G53" s="1009"/>
      <c r="H53" s="1009"/>
      <c r="I53" s="1021"/>
    </row>
    <row r="54" spans="1:9">
      <c r="A54" s="1156" t="str">
        <f t="shared" si="0"/>
        <v>F-01.03_310</v>
      </c>
      <c r="B54" s="1050">
        <v>310</v>
      </c>
      <c r="C54" s="1054" t="s">
        <v>418</v>
      </c>
      <c r="D54" s="1052" t="s">
        <v>51</v>
      </c>
      <c r="E54" s="1053"/>
      <c r="F54" s="1049">
        <f>SUM('1.2'!F14+'1.2'!F20+'1.2'!F24+'1.2'!F28+'1.2'!F29+'1.2'!F30+'1.2'!F37+'1.2'!F40+'1.2'!F41+'1.2'!F42+'1.3'!F53)</f>
        <v>0</v>
      </c>
      <c r="G54" s="1009"/>
      <c r="H54" s="1009">
        <f>IF($F$54&gt;=0,0,"f1.3&gt;=0")</f>
        <v>0</v>
      </c>
      <c r="I54" s="1021"/>
    </row>
    <row r="55" spans="1:9">
      <c r="A55" s="1156" t="s">
        <v>724</v>
      </c>
      <c r="B55" s="1055"/>
      <c r="C55" s="1009"/>
      <c r="G55" s="1056"/>
      <c r="H55" s="1056"/>
      <c r="I55" s="1021"/>
    </row>
    <row r="56" spans="1:9">
      <c r="C56" s="1009">
        <f>IF($F$54='1.1'!$F$51,0,"f1.3,r310,c10=f1.1,r380,c10")</f>
        <v>0</v>
      </c>
      <c r="G56" s="1056"/>
      <c r="H56" s="1056"/>
      <c r="I56" s="1021"/>
    </row>
    <row r="57" spans="1:9">
      <c r="C57" s="1009">
        <f>IF($F$54='1.2'!$F$43+'1.3'!$F$53,0,"f1.3,r310,c10=f1.3,r300,c10)+f1.2,r300,c10")</f>
        <v>0</v>
      </c>
      <c r="G57" s="1056"/>
      <c r="H57" s="1056"/>
      <c r="I57" s="1021"/>
    </row>
    <row r="58" spans="1:9">
      <c r="C58" s="1057"/>
      <c r="G58" s="1058"/>
      <c r="H58" s="1058"/>
    </row>
  </sheetData>
  <sheetProtection password="C2F4" sheet="1" objects="1" scenarios="1"/>
  <phoneticPr fontId="47" type="noConversion"/>
  <dataValidations count="3">
    <dataValidation type="whole" allowBlank="1" showInputMessage="1" showErrorMessage="1" error="wrong number format or sign" sqref="F47 F49">
      <formula1>-99999999</formula1>
      <formula2>0</formula2>
    </dataValidation>
    <dataValidation type="whole" allowBlank="1" showInputMessage="1" showErrorMessage="1" error="wrong number format or sign" sqref="F50 F53:F54">
      <formula1>0</formula1>
      <formula2>99999999</formula2>
    </dataValidation>
    <dataValidation type="whole" allowBlank="1" showInputMessage="1" showErrorMessage="1" error="wrong number format or sign" sqref="F45 F51:F52 F21 F24:F43">
      <formula1>-99999999</formula1>
      <formula2>99999999</formula2>
    </dataValidation>
  </dataValidations>
  <printOptions horizontalCentered="1" headings="1" gridLines="1"/>
  <pageMargins left="0.51181102362204722" right="0.35433070866141736" top="0.39370078740157483" bottom="0.43307086614173229" header="0.27559055118110237" footer="0.35433070866141736"/>
  <pageSetup paperSize="9" scale="55" orientation="landscape" cellComments="asDisplayed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84"/>
  <sheetViews>
    <sheetView topLeftCell="B6" zoomScaleNormal="100" zoomScaleSheetLayoutView="80" workbookViewId="0">
      <selection activeCell="B6" sqref="B6"/>
    </sheetView>
  </sheetViews>
  <sheetFormatPr defaultColWidth="9.140625" defaultRowHeight="12.75"/>
  <cols>
    <col min="1" max="1" width="13.5703125" style="1156" hidden="1" customWidth="1"/>
    <col min="2" max="2" width="5" style="78" bestFit="1" customWidth="1"/>
    <col min="3" max="3" width="71.140625" style="24" customWidth="1"/>
    <col min="4" max="4" width="26.5703125" style="3" customWidth="1"/>
    <col min="5" max="5" width="6.85546875" style="78" customWidth="1"/>
    <col min="6" max="6" width="14.28515625" style="3" customWidth="1"/>
    <col min="7" max="7" width="31.28515625" style="989" bestFit="1" customWidth="1"/>
    <col min="8" max="8" width="33" style="24" customWidth="1"/>
    <col min="9" max="9" width="35.140625" style="24" bestFit="1" customWidth="1"/>
    <col min="10" max="10" width="20.5703125" style="989" customWidth="1"/>
    <col min="11" max="16384" width="9.140625" style="24"/>
  </cols>
  <sheetData>
    <row r="1" spans="1:15" s="1097" customFormat="1" ht="18" hidden="1" customHeight="1">
      <c r="A1" s="1096" t="s">
        <v>1234</v>
      </c>
      <c r="B1" s="1118">
        <v>2</v>
      </c>
      <c r="C1" s="1118">
        <v>1</v>
      </c>
      <c r="D1" s="1119">
        <v>11</v>
      </c>
      <c r="E1" s="1182">
        <v>6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15" s="1097" customFormat="1" ht="18" hidden="1" customHeight="1">
      <c r="A2" s="1096" t="str">
        <f>Index!$A$2</f>
        <v>V20181222</v>
      </c>
      <c r="B2" s="1098"/>
      <c r="C2" s="1099"/>
      <c r="D2" s="1100"/>
      <c r="E2" s="1100"/>
      <c r="F2" s="1100" t="str">
        <f>$A$1&amp;"_"&amp;F10</f>
        <v>F-02.00_010</v>
      </c>
      <c r="G2" s="1100"/>
      <c r="H2" s="1100"/>
      <c r="I2" s="1100"/>
      <c r="J2" s="1100"/>
      <c r="K2" s="1100"/>
      <c r="L2" s="1100"/>
      <c r="M2" s="1100"/>
      <c r="N2" s="1101"/>
    </row>
    <row r="3" spans="1:15" s="1097" customFormat="1" ht="18" hidden="1" customHeight="1">
      <c r="A3" s="1096" t="str">
        <f>"R:A1:P"&amp;ROW(A84)+1</f>
        <v>R:A1:P85</v>
      </c>
      <c r="B3" s="1102"/>
      <c r="C3" s="1103"/>
      <c r="D3" s="1104"/>
      <c r="E3" s="1105"/>
      <c r="F3" s="1106"/>
      <c r="G3" s="1107"/>
      <c r="H3" s="1107"/>
      <c r="I3" s="1107"/>
      <c r="J3" s="1107"/>
      <c r="K3" s="1107"/>
    </row>
    <row r="4" spans="1:15" s="1097" customFormat="1" ht="18" hidden="1" customHeight="1">
      <c r="A4" s="1096"/>
      <c r="B4" s="1102"/>
      <c r="C4" s="1103"/>
      <c r="D4" s="1108"/>
      <c r="E4" s="1109"/>
      <c r="F4" s="1110"/>
      <c r="G4" s="1111">
        <f>N5</f>
        <v>0</v>
      </c>
      <c r="H4" s="1107"/>
      <c r="I4" s="1107"/>
      <c r="J4" s="1107"/>
      <c r="K4" s="1107"/>
    </row>
    <row r="5" spans="1:15" s="1097" customFormat="1" ht="18" hidden="1" customHeight="1">
      <c r="A5" s="1096"/>
      <c r="B5" s="1102"/>
      <c r="C5" s="1103"/>
      <c r="D5" s="1112"/>
      <c r="E5" s="1113"/>
      <c r="F5" s="1114"/>
      <c r="N5" s="1097">
        <f>COUNTIF(G8:K110,"&lt;&gt;0")-COUNTBLANK(G8:K110)</f>
        <v>0</v>
      </c>
    </row>
    <row r="6" spans="1:15" s="1116" customFormat="1">
      <c r="A6" s="1100" t="s">
        <v>718</v>
      </c>
      <c r="B6" s="1115"/>
    </row>
    <row r="7" spans="1:15">
      <c r="A7" s="1100" t="s">
        <v>718</v>
      </c>
      <c r="B7" s="11" t="s">
        <v>555</v>
      </c>
      <c r="D7" s="12"/>
      <c r="E7" s="73"/>
      <c r="F7" s="12"/>
      <c r="G7" s="988"/>
    </row>
    <row r="8" spans="1:15">
      <c r="A8" s="1100" t="s">
        <v>718</v>
      </c>
      <c r="D8" s="9"/>
      <c r="E8" s="74"/>
      <c r="F8" s="9"/>
      <c r="G8" s="988"/>
    </row>
    <row r="9" spans="1:15" ht="59.25" customHeight="1">
      <c r="A9" s="1100" t="s">
        <v>718</v>
      </c>
      <c r="B9" s="596"/>
      <c r="C9" s="369"/>
      <c r="D9" s="585" t="s">
        <v>551</v>
      </c>
      <c r="E9" s="371" t="s">
        <v>115</v>
      </c>
      <c r="F9" s="372" t="s">
        <v>54</v>
      </c>
    </row>
    <row r="10" spans="1:15" ht="14.45" customHeight="1">
      <c r="A10" s="1100" t="s">
        <v>718</v>
      </c>
      <c r="B10" s="358"/>
      <c r="C10" s="370"/>
      <c r="D10" s="359"/>
      <c r="E10" s="373"/>
      <c r="F10" s="374" t="s">
        <v>292</v>
      </c>
    </row>
    <row r="11" spans="1:15">
      <c r="A11" s="1156" t="str">
        <f>$A$1&amp;"_"&amp;B11</f>
        <v>F-02.00_010</v>
      </c>
      <c r="B11" s="360" t="s">
        <v>292</v>
      </c>
      <c r="C11" s="194" t="s">
        <v>139</v>
      </c>
      <c r="D11" s="209" t="s">
        <v>1697</v>
      </c>
      <c r="E11" s="104">
        <v>16</v>
      </c>
      <c r="F11" s="706">
        <f>SUM($F$12:$F$19)</f>
        <v>0</v>
      </c>
      <c r="G11" s="987">
        <f>IF($F$11='16'!$E$41,0,"(F2,r10,c10)= (F16.1,r270,c10)")</f>
        <v>0</v>
      </c>
      <c r="H11" s="1476">
        <f>IF('20'!$G$8="N",0,IF(F11=SUM('20'!E96:F96),0,"(F2,r10)= sum(F.20.3,r10,c10-20)"))</f>
        <v>0</v>
      </c>
      <c r="I11" s="823"/>
      <c r="J11" s="987"/>
    </row>
    <row r="12" spans="1:15" s="196" customFormat="1" ht="21">
      <c r="A12" s="1156" t="str">
        <f>$A$1&amp;"_"&amp;B12</f>
        <v>F-02.00_020</v>
      </c>
      <c r="B12" s="361" t="s">
        <v>293</v>
      </c>
      <c r="C12" s="47" t="s">
        <v>58</v>
      </c>
      <c r="D12" s="19" t="s">
        <v>2083</v>
      </c>
      <c r="E12" s="56"/>
      <c r="F12" s="889"/>
      <c r="G12" s="990"/>
      <c r="H12" s="1226"/>
      <c r="I12" s="826"/>
      <c r="J12" s="987"/>
    </row>
    <row r="13" spans="1:15" s="196" customFormat="1" ht="21">
      <c r="A13" s="1156" t="str">
        <f>$A$1&amp;"_"&amp;B13</f>
        <v>F-02.00_025</v>
      </c>
      <c r="B13" s="1702" t="s">
        <v>700</v>
      </c>
      <c r="C13" s="8" t="s">
        <v>1679</v>
      </c>
      <c r="D13" s="19" t="s">
        <v>2078</v>
      </c>
      <c r="E13" s="56"/>
      <c r="F13" s="889"/>
      <c r="G13" s="990"/>
      <c r="H13" s="1484"/>
      <c r="I13" s="826"/>
      <c r="J13" s="987"/>
    </row>
    <row r="14" spans="1:15" s="196" customFormat="1">
      <c r="A14" s="1156" t="str">
        <f>$A$1&amp;"_"&amp;B14</f>
        <v>F-02.00_030</v>
      </c>
      <c r="B14" s="362" t="s">
        <v>294</v>
      </c>
      <c r="C14" s="47" t="s">
        <v>216</v>
      </c>
      <c r="D14" s="82" t="s">
        <v>524</v>
      </c>
      <c r="E14" s="58"/>
      <c r="F14" s="889"/>
      <c r="G14" s="990"/>
      <c r="H14" s="1226"/>
      <c r="I14" s="826"/>
      <c r="J14" s="987"/>
    </row>
    <row r="15" spans="1:15" s="196" customFormat="1" ht="21">
      <c r="A15" s="1156" t="str">
        <f t="shared" ref="A15:A81" si="0">$A$1&amp;"_"&amp;B15</f>
        <v>F-02.00_041</v>
      </c>
      <c r="B15" s="1702" t="s">
        <v>2079</v>
      </c>
      <c r="C15" s="8" t="s">
        <v>1683</v>
      </c>
      <c r="D15" s="15" t="s">
        <v>2080</v>
      </c>
      <c r="E15" s="58"/>
      <c r="F15" s="889"/>
      <c r="G15" s="990"/>
      <c r="H15" s="1484"/>
      <c r="I15" s="826"/>
      <c r="J15" s="987"/>
    </row>
    <row r="16" spans="1:15" s="196" customFormat="1" ht="21">
      <c r="A16" s="1156" t="str">
        <f t="shared" si="0"/>
        <v>F-02.00_051</v>
      </c>
      <c r="B16" s="1543" t="s">
        <v>2081</v>
      </c>
      <c r="C16" s="8" t="s">
        <v>1572</v>
      </c>
      <c r="D16" s="15" t="s">
        <v>2082</v>
      </c>
      <c r="E16" s="58"/>
      <c r="F16" s="889"/>
      <c r="G16" s="990"/>
      <c r="H16" s="1484"/>
      <c r="I16" s="826"/>
      <c r="J16" s="987"/>
    </row>
    <row r="17" spans="1:10" s="196" customFormat="1" ht="15.75" customHeight="1">
      <c r="A17" s="1156" t="str">
        <f t="shared" si="0"/>
        <v>F-02.00_070</v>
      </c>
      <c r="B17" s="361" t="s">
        <v>298</v>
      </c>
      <c r="C17" s="47" t="s">
        <v>41</v>
      </c>
      <c r="D17" s="82" t="s">
        <v>597</v>
      </c>
      <c r="E17" s="58"/>
      <c r="F17" s="707">
        <f>'16'!$E$39</f>
        <v>0</v>
      </c>
      <c r="G17" s="990"/>
      <c r="H17" s="1226"/>
      <c r="I17" s="826"/>
      <c r="J17" s="987"/>
    </row>
    <row r="18" spans="1:10" s="196" customFormat="1">
      <c r="A18" s="1156" t="str">
        <f t="shared" si="0"/>
        <v>F-02.00_080</v>
      </c>
      <c r="B18" s="361" t="s">
        <v>299</v>
      </c>
      <c r="C18" s="45" t="s">
        <v>137</v>
      </c>
      <c r="D18" s="243" t="s">
        <v>1547</v>
      </c>
      <c r="E18" s="75"/>
      <c r="F18" s="861">
        <f>'16'!$E$29</f>
        <v>0</v>
      </c>
      <c r="G18" s="990"/>
      <c r="H18" s="1226"/>
      <c r="I18" s="826"/>
      <c r="J18" s="987"/>
    </row>
    <row r="19" spans="1:10" s="196" customFormat="1">
      <c r="A19" s="1156" t="str">
        <f t="shared" si="0"/>
        <v>F-02.00_085</v>
      </c>
      <c r="B19" s="361" t="s">
        <v>1548</v>
      </c>
      <c r="C19" s="45" t="s">
        <v>1549</v>
      </c>
      <c r="D19" s="243" t="s">
        <v>1547</v>
      </c>
      <c r="E19" s="75"/>
      <c r="F19" s="861">
        <f>'16'!$E$30+'16'!$E$37+'16'!$E$38+'16'!$E$40</f>
        <v>0</v>
      </c>
      <c r="G19" s="990"/>
      <c r="H19" s="1477"/>
      <c r="I19" s="826"/>
      <c r="J19" s="987"/>
    </row>
    <row r="20" spans="1:10">
      <c r="A20" s="1156" t="str">
        <f t="shared" si="0"/>
        <v>F-02.00_090</v>
      </c>
      <c r="B20" s="361" t="s">
        <v>300</v>
      </c>
      <c r="C20" s="1709" t="s">
        <v>243</v>
      </c>
      <c r="D20" s="15" t="s">
        <v>1697</v>
      </c>
      <c r="E20" s="58">
        <v>16</v>
      </c>
      <c r="F20" s="707">
        <f>SUM($F$21:$F$26)</f>
        <v>0</v>
      </c>
      <c r="G20" s="987">
        <f>IF($F$20= '16'!$F$41,0,"(F2,r90,c10)= (F16.1,r270,c20)")</f>
        <v>0</v>
      </c>
      <c r="H20" s="1226">
        <f>IF('20'!$G$8="N",0,IF($F$20='20'!$E$97+'20'!$F$97,0,"(F2,r90)=sum(F20.3,r20,c10-20)"))</f>
        <v>0</v>
      </c>
      <c r="I20" s="823"/>
      <c r="J20" s="987"/>
    </row>
    <row r="21" spans="1:10" ht="21">
      <c r="A21" s="1156" t="str">
        <f t="shared" si="0"/>
        <v>F-02.00_100</v>
      </c>
      <c r="B21" s="361" t="s">
        <v>301</v>
      </c>
      <c r="C21" s="47" t="s">
        <v>1552</v>
      </c>
      <c r="D21" s="82" t="s">
        <v>2083</v>
      </c>
      <c r="E21" s="58"/>
      <c r="F21" s="889"/>
      <c r="G21" s="991"/>
      <c r="H21" s="1226"/>
      <c r="I21" s="660"/>
      <c r="J21" s="987"/>
    </row>
    <row r="22" spans="1:10">
      <c r="A22" s="1156" t="str">
        <f t="shared" si="0"/>
        <v>F-02.00_110</v>
      </c>
      <c r="B22" s="361" t="s">
        <v>302</v>
      </c>
      <c r="C22" s="47" t="s">
        <v>2088</v>
      </c>
      <c r="D22" s="82" t="s">
        <v>524</v>
      </c>
      <c r="E22" s="58"/>
      <c r="F22" s="889"/>
      <c r="G22" s="991"/>
      <c r="H22" s="1226"/>
      <c r="I22" s="660"/>
      <c r="J22" s="987"/>
    </row>
    <row r="23" spans="1:10">
      <c r="A23" s="1156" t="str">
        <f t="shared" si="0"/>
        <v>F-02.00_120</v>
      </c>
      <c r="B23" s="361" t="s">
        <v>303</v>
      </c>
      <c r="C23" s="50" t="s">
        <v>18</v>
      </c>
      <c r="D23" s="15" t="s">
        <v>2084</v>
      </c>
      <c r="E23" s="58"/>
      <c r="F23" s="889"/>
      <c r="G23" s="991"/>
      <c r="H23" s="1226"/>
      <c r="I23" s="660"/>
      <c r="J23" s="987"/>
    </row>
    <row r="24" spans="1:10">
      <c r="A24" s="1156" t="str">
        <f t="shared" si="0"/>
        <v>F-02.00_130</v>
      </c>
      <c r="B24" s="361" t="s">
        <v>304</v>
      </c>
      <c r="C24" s="50" t="s">
        <v>19</v>
      </c>
      <c r="D24" s="82" t="s">
        <v>2085</v>
      </c>
      <c r="E24" s="58"/>
      <c r="F24" s="707">
        <f>'16'!$F$39</f>
        <v>0</v>
      </c>
      <c r="G24" s="991"/>
      <c r="H24" s="660"/>
      <c r="I24" s="660"/>
      <c r="J24" s="987"/>
    </row>
    <row r="25" spans="1:10">
      <c r="A25" s="1156" t="str">
        <f t="shared" si="0"/>
        <v>F-02.00_140</v>
      </c>
      <c r="B25" s="361" t="s">
        <v>305</v>
      </c>
      <c r="C25" s="2" t="s">
        <v>138</v>
      </c>
      <c r="D25" s="82" t="s">
        <v>2086</v>
      </c>
      <c r="E25" s="58"/>
      <c r="F25" s="707">
        <f>'16'!$F$40</f>
        <v>0</v>
      </c>
      <c r="G25" s="991"/>
      <c r="H25" s="660"/>
      <c r="I25" s="660"/>
      <c r="J25" s="987"/>
    </row>
    <row r="26" spans="1:10" ht="21">
      <c r="A26" s="1156" t="str">
        <f t="shared" si="0"/>
        <v>F-02.00_145</v>
      </c>
      <c r="B26" s="361">
        <v>145</v>
      </c>
      <c r="C26" s="2" t="s">
        <v>1550</v>
      </c>
      <c r="D26" s="82" t="s">
        <v>2087</v>
      </c>
      <c r="E26" s="58"/>
      <c r="F26" s="707">
        <f>'16'!$F$16+'16'!$F$22+'16'!$F$29</f>
        <v>0</v>
      </c>
      <c r="G26" s="991"/>
      <c r="H26" s="1477"/>
      <c r="I26" s="660"/>
      <c r="J26" s="987"/>
    </row>
    <row r="27" spans="1:10">
      <c r="A27" s="1156" t="str">
        <f t="shared" si="0"/>
        <v>F-02.00_150</v>
      </c>
      <c r="B27" s="361" t="s">
        <v>306</v>
      </c>
      <c r="C27" s="1710" t="s">
        <v>20</v>
      </c>
      <c r="D27" s="15" t="s">
        <v>16</v>
      </c>
      <c r="E27" s="58"/>
      <c r="F27" s="889"/>
      <c r="G27" s="991"/>
      <c r="H27" s="1226">
        <f>IF('20'!$G$8="N",0,IF($F$27='20'!$E$98+'20'!$F$98,0,"(F2,r150)=sum(F20.3,r30,c10-20)"))</f>
        <v>0</v>
      </c>
      <c r="I27" s="660"/>
      <c r="J27" s="987"/>
    </row>
    <row r="28" spans="1:10">
      <c r="A28" s="1156" t="str">
        <f t="shared" si="0"/>
        <v>F-02.00_160</v>
      </c>
      <c r="B28" s="361" t="s">
        <v>307</v>
      </c>
      <c r="C28" s="1709" t="s">
        <v>42</v>
      </c>
      <c r="D28" s="15" t="s">
        <v>1698</v>
      </c>
      <c r="E28" s="58">
        <v>31</v>
      </c>
      <c r="F28" s="707">
        <f>SUM($F$29:$F$32)</f>
        <v>0</v>
      </c>
      <c r="G28" s="991"/>
      <c r="H28" s="1226">
        <f>IF('20'!$G$8="N",0,IF($F$28='20'!$E$99+'20'!$F$99,0,"(F2,r160)=sum(F20.3,r40,c10-20)"))</f>
        <v>0</v>
      </c>
      <c r="I28" s="823"/>
      <c r="J28" s="987"/>
    </row>
    <row r="29" spans="1:10" ht="23.45" customHeight="1">
      <c r="A29" s="1156" t="str">
        <f t="shared" si="0"/>
        <v>F-02.00_170</v>
      </c>
      <c r="B29" s="361" t="s">
        <v>308</v>
      </c>
      <c r="C29" s="47" t="s">
        <v>346</v>
      </c>
      <c r="D29" s="15" t="s">
        <v>2106</v>
      </c>
      <c r="E29" s="58"/>
      <c r="F29" s="889"/>
      <c r="G29" s="991"/>
      <c r="H29" s="660"/>
      <c r="I29" s="660"/>
      <c r="J29" s="987"/>
    </row>
    <row r="30" spans="1:10" ht="23.45" customHeight="1">
      <c r="A30" s="1156" t="str">
        <f t="shared" si="0"/>
        <v>F-02.00_175</v>
      </c>
      <c r="B30" s="361">
        <v>175</v>
      </c>
      <c r="C30" s="8" t="s">
        <v>1679</v>
      </c>
      <c r="D30" s="15" t="s">
        <v>2089</v>
      </c>
      <c r="E30" s="58"/>
      <c r="F30" s="889"/>
      <c r="G30" s="991"/>
      <c r="H30" s="660"/>
      <c r="I30" s="660"/>
      <c r="J30" s="987"/>
    </row>
    <row r="31" spans="1:10" ht="31.5">
      <c r="A31" s="1156" t="str">
        <f t="shared" si="0"/>
        <v>F-02.00_191</v>
      </c>
      <c r="B31" s="361">
        <v>191</v>
      </c>
      <c r="C31" s="8" t="s">
        <v>1683</v>
      </c>
      <c r="D31" s="15" t="s">
        <v>2090</v>
      </c>
      <c r="E31" s="58"/>
      <c r="F31" s="889"/>
      <c r="G31" s="991"/>
      <c r="H31" s="660"/>
      <c r="I31" s="660"/>
      <c r="J31" s="987"/>
    </row>
    <row r="32" spans="1:10" ht="21">
      <c r="A32" s="1156" t="str">
        <f t="shared" si="0"/>
        <v>F-02.00_192</v>
      </c>
      <c r="B32" s="361">
        <v>192</v>
      </c>
      <c r="C32" s="8" t="s">
        <v>2091</v>
      </c>
      <c r="D32" s="15" t="s">
        <v>2092</v>
      </c>
      <c r="E32" s="58"/>
      <c r="F32" s="889"/>
      <c r="G32" s="991"/>
      <c r="H32" s="660"/>
      <c r="I32" s="660"/>
      <c r="J32" s="987"/>
    </row>
    <row r="33" spans="1:10">
      <c r="A33" s="1156" t="str">
        <f t="shared" si="0"/>
        <v>F-02.00_200</v>
      </c>
      <c r="B33" s="361" t="s">
        <v>311</v>
      </c>
      <c r="C33" s="20" t="s">
        <v>43</v>
      </c>
      <c r="D33" s="82" t="s">
        <v>598</v>
      </c>
      <c r="E33" s="57">
        <v>22</v>
      </c>
      <c r="F33" s="889"/>
      <c r="G33" s="991"/>
      <c r="H33" s="1226">
        <f>IF('20'!$G$8="N",0,IF($F$33='20'!$E$100+'20'!$F$100,0,"(F2,r200)=sum(F20.3,r50,c10-20)"))</f>
        <v>0</v>
      </c>
      <c r="I33" s="823"/>
      <c r="J33" s="987"/>
    </row>
    <row r="34" spans="1:10" s="196" customFormat="1">
      <c r="A34" s="1156" t="str">
        <f t="shared" si="0"/>
        <v>F-02.00_210</v>
      </c>
      <c r="B34" s="363" t="s">
        <v>312</v>
      </c>
      <c r="C34" s="20" t="s">
        <v>70</v>
      </c>
      <c r="D34" s="82" t="s">
        <v>598</v>
      </c>
      <c r="E34" s="57">
        <v>22</v>
      </c>
      <c r="F34" s="889"/>
      <c r="G34" s="990"/>
      <c r="H34" s="1226">
        <f>IF('20'!$G$8="N",0,IF($F$34='20'!$E$101+'20'!$F$101,0,"(F2,r210)=sum(F20.3,r60,c10-20)"))</f>
        <v>0</v>
      </c>
      <c r="I34" s="823"/>
      <c r="J34" s="987"/>
    </row>
    <row r="35" spans="1:10" s="196" customFormat="1" ht="21">
      <c r="A35" s="1156" t="str">
        <f t="shared" si="0"/>
        <v>F-02.00_220</v>
      </c>
      <c r="B35" s="363" t="s">
        <v>313</v>
      </c>
      <c r="C35" s="53" t="s">
        <v>1544</v>
      </c>
      <c r="D35" s="15" t="s">
        <v>601</v>
      </c>
      <c r="E35" s="57">
        <v>16</v>
      </c>
      <c r="F35" s="707">
        <f>SUM($F$36:$F$39)</f>
        <v>0</v>
      </c>
      <c r="G35" s="987">
        <f>IF(F35= '16'!$E$62,0,"{F 02.00, r220, c010}=={F 16.02, r070, c010}")</f>
        <v>0</v>
      </c>
      <c r="H35" s="1226">
        <f>IF('20'!$G$8="N",0,IF($F$35='20'!$E$102+'20'!$F$102,0,"(F2,r220)=sum(F20.3,r70,c10-20)"))</f>
        <v>0</v>
      </c>
      <c r="I35" s="826"/>
      <c r="J35" s="987"/>
    </row>
    <row r="36" spans="1:10" s="196" customFormat="1" ht="21">
      <c r="A36" s="1156" t="str">
        <f t="shared" si="0"/>
        <v>F-02.00_231</v>
      </c>
      <c r="B36" s="361">
        <v>231</v>
      </c>
      <c r="C36" s="8" t="s">
        <v>1683</v>
      </c>
      <c r="D36" s="15" t="s">
        <v>2093</v>
      </c>
      <c r="E36" s="58"/>
      <c r="F36" s="1175"/>
      <c r="G36" s="990"/>
      <c r="H36" s="826"/>
      <c r="I36" s="826"/>
      <c r="J36" s="987"/>
    </row>
    <row r="37" spans="1:10" s="196" customFormat="1" ht="21">
      <c r="A37" s="1156" t="str">
        <f t="shared" si="0"/>
        <v>F-02.00_241</v>
      </c>
      <c r="B37" s="361">
        <v>241</v>
      </c>
      <c r="C37" s="8" t="s">
        <v>1572</v>
      </c>
      <c r="D37" s="15" t="s">
        <v>2094</v>
      </c>
      <c r="E37" s="58"/>
      <c r="F37" s="1175"/>
      <c r="G37" s="990"/>
      <c r="H37" s="826"/>
      <c r="I37" s="826"/>
      <c r="J37" s="987"/>
    </row>
    <row r="38" spans="1:10" s="196" customFormat="1">
      <c r="A38" s="1156" t="str">
        <f t="shared" si="0"/>
        <v>F-02.00_260</v>
      </c>
      <c r="B38" s="361" t="s">
        <v>317</v>
      </c>
      <c r="C38" s="47" t="s">
        <v>4</v>
      </c>
      <c r="D38" s="15" t="s">
        <v>2107</v>
      </c>
      <c r="E38" s="58"/>
      <c r="F38" s="1175"/>
      <c r="G38" s="990"/>
      <c r="H38" s="826"/>
      <c r="I38" s="826"/>
      <c r="J38" s="987"/>
    </row>
    <row r="39" spans="1:10" s="196" customFormat="1">
      <c r="A39" s="1156" t="str">
        <f t="shared" si="0"/>
        <v>F-02.00_270</v>
      </c>
      <c r="B39" s="361" t="s">
        <v>318</v>
      </c>
      <c r="C39" s="47" t="s">
        <v>44</v>
      </c>
      <c r="D39" s="15"/>
      <c r="E39" s="58"/>
      <c r="F39" s="1175"/>
      <c r="G39" s="990"/>
      <c r="H39" s="826"/>
      <c r="I39" s="826"/>
      <c r="J39" s="987"/>
    </row>
    <row r="40" spans="1:10" s="196" customFormat="1" ht="21">
      <c r="A40" s="1156" t="str">
        <f t="shared" si="0"/>
        <v>F-02.00_280</v>
      </c>
      <c r="B40" s="361" t="s">
        <v>319</v>
      </c>
      <c r="C40" s="1709" t="s">
        <v>282</v>
      </c>
      <c r="D40" s="15" t="s">
        <v>1699</v>
      </c>
      <c r="E40" s="58">
        <v>16</v>
      </c>
      <c r="F40" s="707">
        <f>'16'!$E$85</f>
        <v>0</v>
      </c>
      <c r="G40" s="990"/>
      <c r="H40" s="1226">
        <f>IF('20'!$G$8="N",0,IF($F$40='20'!$E$103+'20'!$F$103,0,"(F2,r280)=sum(F20.3,r80,c10-20)"))</f>
        <v>0</v>
      </c>
      <c r="I40" s="826"/>
      <c r="J40" s="987"/>
    </row>
    <row r="41" spans="1:10" s="196" customFormat="1" ht="21">
      <c r="A41" s="1156" t="str">
        <f t="shared" si="0"/>
        <v>F-02.00_287</v>
      </c>
      <c r="B41" s="361">
        <v>287</v>
      </c>
      <c r="C41" s="1709" t="s">
        <v>2095</v>
      </c>
      <c r="D41" s="15" t="s">
        <v>2096</v>
      </c>
      <c r="E41" s="58"/>
      <c r="F41" s="1175"/>
      <c r="G41" s="987">
        <f>IF(F41='16'!$E$120,0,"{F02.00, r287, c010}=={F16.04.1, r090, c010}")</f>
        <v>0</v>
      </c>
      <c r="H41" s="1476">
        <f>IF('20'!$G$8="N",0,IF($F$41='20'!$E$104+'20'!$F$104,0,"{F 02.00, r287, c010} = +{F 20.03, r083, c010} + {F 20.03, r083, c020}"))</f>
        <v>0</v>
      </c>
      <c r="I41" s="826"/>
      <c r="J41" s="987"/>
    </row>
    <row r="42" spans="1:10" s="196" customFormat="1" ht="21">
      <c r="A42" s="1156" t="str">
        <f t="shared" si="0"/>
        <v>F-02.00_290</v>
      </c>
      <c r="B42" s="361">
        <v>290</v>
      </c>
      <c r="C42" s="1711" t="s">
        <v>283</v>
      </c>
      <c r="D42" s="15" t="s">
        <v>1700</v>
      </c>
      <c r="E42" s="58" t="s">
        <v>599</v>
      </c>
      <c r="F42" s="707">
        <f>'16'!$E$143</f>
        <v>0</v>
      </c>
      <c r="G42" s="1174"/>
      <c r="H42" s="1226">
        <f>IF('20'!$G$8="N",0,IF($F$42='20'!$E$105+'20'!$F$105,0,"(F2,r290)=sum(F20.3,r90,c10-20)"))</f>
        <v>0</v>
      </c>
      <c r="I42" s="826"/>
      <c r="J42" s="987"/>
    </row>
    <row r="43" spans="1:10">
      <c r="A43" s="1156" t="str">
        <f t="shared" si="0"/>
        <v>F-02.00_300</v>
      </c>
      <c r="B43" s="361">
        <v>300</v>
      </c>
      <c r="C43" s="1709" t="s">
        <v>284</v>
      </c>
      <c r="D43" s="15" t="s">
        <v>2108</v>
      </c>
      <c r="E43" s="58">
        <v>16</v>
      </c>
      <c r="F43" s="1175"/>
      <c r="G43" s="1174"/>
      <c r="H43" s="1226">
        <f>IF('20'!$G$8="N",0,IF($F$43='20'!$E$106+'20'!$F$106,0,"(F2,r300)=sum(F20.3,r100,c10-20)"))</f>
        <v>0</v>
      </c>
      <c r="I43" s="660"/>
      <c r="J43" s="987"/>
    </row>
    <row r="44" spans="1:10">
      <c r="A44" s="1156" t="str">
        <f t="shared" si="0"/>
        <v>F-02.00_310</v>
      </c>
      <c r="B44" s="361">
        <v>310</v>
      </c>
      <c r="C44" s="1709" t="s">
        <v>285</v>
      </c>
      <c r="D44" s="15" t="s">
        <v>30</v>
      </c>
      <c r="E44" s="58"/>
      <c r="F44" s="1175"/>
      <c r="G44" s="1174"/>
      <c r="H44" s="1226">
        <f>IF('20'!$G$8="N",0,IF($F$44='20'!$E$107+'20'!$F$107,0,"(F2,r310)=sum(F20.3,r110,c10-20)"))</f>
        <v>0</v>
      </c>
      <c r="I44" s="660"/>
      <c r="J44" s="987"/>
    </row>
    <row r="45" spans="1:10" ht="21">
      <c r="A45" s="1156" t="str">
        <f t="shared" si="0"/>
        <v>F-02.00_330</v>
      </c>
      <c r="B45" s="363" t="s">
        <v>323</v>
      </c>
      <c r="C45" s="53" t="s">
        <v>1545</v>
      </c>
      <c r="D45" s="15" t="s">
        <v>2109</v>
      </c>
      <c r="E45" s="58">
        <v>45</v>
      </c>
      <c r="F45" s="1175"/>
      <c r="G45" s="991"/>
      <c r="H45" s="1226">
        <f>IF('20'!$G$8="N",0,IF($F$45='20'!$E$108+'20'!$F$108,0,"(F2,r330)=sum(F20.3,r130,c10-20)"))</f>
        <v>0</v>
      </c>
      <c r="I45" s="660"/>
      <c r="J45" s="987"/>
    </row>
    <row r="46" spans="1:10" s="196" customFormat="1">
      <c r="A46" s="1156" t="str">
        <f t="shared" si="0"/>
        <v>F-02.00_340</v>
      </c>
      <c r="B46" s="363">
        <v>340</v>
      </c>
      <c r="C46" s="20" t="s">
        <v>46</v>
      </c>
      <c r="D46" s="15" t="s">
        <v>1703</v>
      </c>
      <c r="E46" s="58">
        <v>45</v>
      </c>
      <c r="F46" s="889"/>
      <c r="G46" s="990"/>
      <c r="H46" s="1226">
        <f>IF('20'!$G$8="N",0,IF($F$46='20'!$E$109+'20'!$F$109,0,"(F2,r340)=sum(F20.3,r140,c10-20)"))</f>
        <v>0</v>
      </c>
      <c r="I46" s="826"/>
      <c r="J46" s="987"/>
    </row>
    <row r="47" spans="1:10">
      <c r="A47" s="1156" t="str">
        <f t="shared" si="0"/>
        <v>F-02.00_350</v>
      </c>
      <c r="B47" s="362">
        <v>350</v>
      </c>
      <c r="C47" s="313" t="s">
        <v>21</v>
      </c>
      <c r="D47" s="15" t="s">
        <v>1703</v>
      </c>
      <c r="E47" s="75">
        <v>45</v>
      </c>
      <c r="F47" s="889"/>
      <c r="G47" s="991"/>
      <c r="H47" s="1226">
        <f>IF('20'!$G$8="N",0,IF($F$47='20'!$E$110+'20'!$F$110,0,"(F2,r350)=sum(F20.3,r150,c10-20)"))</f>
        <v>0</v>
      </c>
      <c r="I47" s="660"/>
      <c r="J47" s="987"/>
    </row>
    <row r="48" spans="1:10">
      <c r="A48" s="1156" t="str">
        <f t="shared" si="0"/>
        <v>F-02.00_355</v>
      </c>
      <c r="B48" s="375">
        <v>355</v>
      </c>
      <c r="C48" s="340" t="s">
        <v>464</v>
      </c>
      <c r="D48" s="341"/>
      <c r="E48" s="175"/>
      <c r="F48" s="707">
        <f>SUM($F$11-$F$20-$F$27+$F$28+$F$33-$F$34+$F$35+$F$40+$F$41+$F$42+$F$43+$F$44+$F$45+$F$46-$F$47)</f>
        <v>0</v>
      </c>
      <c r="G48" s="991"/>
      <c r="H48" s="1226">
        <f>IF('20'!$G$8="N",0,IF($F$48='20'!$E$111+'20'!$F$111,0,"(F2,r355)=sum(F20.3,r155,c10-20)"))</f>
        <v>0</v>
      </c>
      <c r="I48" s="660"/>
      <c r="J48" s="987"/>
    </row>
    <row r="49" spans="1:10">
      <c r="A49" s="1156" t="str">
        <f t="shared" si="0"/>
        <v>F-02.00_360</v>
      </c>
      <c r="B49" s="367" t="s">
        <v>324</v>
      </c>
      <c r="C49" s="314" t="s">
        <v>246</v>
      </c>
      <c r="D49" s="19"/>
      <c r="E49" s="56"/>
      <c r="F49" s="863">
        <f>SUM($F$50:$F$51)</f>
        <v>0</v>
      </c>
      <c r="G49" s="991"/>
      <c r="H49" s="1226">
        <f>IF('20'!$G$8="N",0,IF($F$49='20'!$E$112+'20'!$F$112,0,"(F2,r360)=sum(F20.3,r160,c10-20)"))</f>
        <v>0</v>
      </c>
      <c r="I49" s="660"/>
      <c r="J49" s="987"/>
    </row>
    <row r="50" spans="1:10">
      <c r="A50" s="1156" t="str">
        <f t="shared" si="0"/>
        <v>F-02.00_370</v>
      </c>
      <c r="B50" s="361" t="s">
        <v>325</v>
      </c>
      <c r="C50" s="10" t="s">
        <v>22</v>
      </c>
      <c r="D50" s="15" t="s">
        <v>1</v>
      </c>
      <c r="E50" s="58">
        <v>44</v>
      </c>
      <c r="F50" s="889"/>
      <c r="G50" s="987"/>
      <c r="H50" s="660"/>
      <c r="I50" s="660"/>
      <c r="J50" s="987"/>
    </row>
    <row r="51" spans="1:10">
      <c r="A51" s="1156" t="str">
        <f t="shared" si="0"/>
        <v>F-02.00_380</v>
      </c>
      <c r="B51" s="361" t="s">
        <v>326</v>
      </c>
      <c r="C51" s="10" t="s">
        <v>347</v>
      </c>
      <c r="D51" s="15"/>
      <c r="E51" s="58"/>
      <c r="F51" s="889"/>
      <c r="G51" s="991"/>
      <c r="H51" s="660"/>
      <c r="I51" s="660"/>
      <c r="J51" s="987"/>
    </row>
    <row r="52" spans="1:10">
      <c r="A52" s="1156" t="str">
        <f t="shared" si="0"/>
        <v>F-02.00_390</v>
      </c>
      <c r="B52" s="361" t="s">
        <v>327</v>
      </c>
      <c r="C52" s="20" t="s">
        <v>23</v>
      </c>
      <c r="D52" s="15" t="s">
        <v>31</v>
      </c>
      <c r="E52" s="58"/>
      <c r="F52" s="707">
        <f>SUM($F$53:$F$55)</f>
        <v>0</v>
      </c>
      <c r="G52" s="991"/>
      <c r="H52" s="1226">
        <f>IF('20'!$G$8="N",0,IF($F$52='20'!$E$113+'20'!$F$113,0,"(F2,r390)=sum(F20.3,r170,c10-20)"))</f>
        <v>0</v>
      </c>
      <c r="I52" s="660"/>
      <c r="J52" s="987"/>
    </row>
    <row r="53" spans="1:10">
      <c r="A53" s="1156" t="str">
        <f t="shared" si="0"/>
        <v>F-02.00_400</v>
      </c>
      <c r="B53" s="361" t="s">
        <v>328</v>
      </c>
      <c r="C53" s="10" t="s">
        <v>24</v>
      </c>
      <c r="D53" s="15" t="s">
        <v>525</v>
      </c>
      <c r="E53" s="58"/>
      <c r="F53" s="889"/>
      <c r="G53" s="991"/>
      <c r="H53" s="660"/>
      <c r="I53" s="660"/>
      <c r="J53" s="987"/>
    </row>
    <row r="54" spans="1:10">
      <c r="A54" s="1156" t="str">
        <f t="shared" si="0"/>
        <v>F-02.00_410</v>
      </c>
      <c r="B54" s="361" t="s">
        <v>329</v>
      </c>
      <c r="C54" s="10" t="s">
        <v>25</v>
      </c>
      <c r="D54" s="80" t="s">
        <v>526</v>
      </c>
      <c r="E54" s="75"/>
      <c r="F54" s="889"/>
      <c r="G54" s="991"/>
      <c r="H54" s="660"/>
      <c r="I54" s="660"/>
      <c r="J54" s="987"/>
    </row>
    <row r="55" spans="1:10">
      <c r="A55" s="1156" t="str">
        <f t="shared" si="0"/>
        <v>F-02.00_420</v>
      </c>
      <c r="B55" s="363" t="s">
        <v>330</v>
      </c>
      <c r="C55" s="10" t="s">
        <v>47</v>
      </c>
      <c r="D55" s="15" t="s">
        <v>527</v>
      </c>
      <c r="E55" s="58"/>
      <c r="F55" s="889"/>
      <c r="G55" s="991"/>
      <c r="H55" s="660"/>
      <c r="I55" s="660"/>
      <c r="J55" s="987"/>
    </row>
    <row r="56" spans="1:10" ht="21">
      <c r="A56" s="1156" t="str">
        <f t="shared" si="0"/>
        <v>F-02.00_425</v>
      </c>
      <c r="B56" s="361">
        <v>425</v>
      </c>
      <c r="C56" s="1506" t="s">
        <v>1695</v>
      </c>
      <c r="D56" s="15" t="s">
        <v>1696</v>
      </c>
      <c r="E56" s="58"/>
      <c r="F56" s="707">
        <f>SUM($F$57:$F$58)</f>
        <v>0</v>
      </c>
      <c r="G56" s="987"/>
      <c r="H56" s="1476">
        <f>IF('20'!$G$8="N",0,IF($F$56='20'!$E$114+'20'!$F$114,0,"{F 02.00, r425, c010} = +{F 20.03, r171, c010} + {F 20.03, r171, c020}"))</f>
        <v>0</v>
      </c>
      <c r="I56" s="660"/>
      <c r="J56" s="987"/>
    </row>
    <row r="57" spans="1:10">
      <c r="A57" s="1156" t="str">
        <f t="shared" si="0"/>
        <v>F-02.00_426</v>
      </c>
      <c r="B57" s="361">
        <v>426</v>
      </c>
      <c r="C57" s="8" t="s">
        <v>1683</v>
      </c>
      <c r="D57" s="15" t="s">
        <v>2097</v>
      </c>
      <c r="E57" s="58"/>
      <c r="F57" s="1175"/>
      <c r="G57" s="991"/>
      <c r="H57" s="660"/>
      <c r="I57" s="660"/>
      <c r="J57" s="987"/>
    </row>
    <row r="58" spans="1:10">
      <c r="A58" s="1156" t="str">
        <f t="shared" si="0"/>
        <v>F-02.00_427</v>
      </c>
      <c r="B58" s="361">
        <v>427</v>
      </c>
      <c r="C58" s="8" t="s">
        <v>1572</v>
      </c>
      <c r="D58" s="15" t="s">
        <v>2097</v>
      </c>
      <c r="E58" s="58"/>
      <c r="F58" s="1175"/>
      <c r="G58" s="991"/>
      <c r="H58" s="660"/>
      <c r="I58" s="660"/>
      <c r="J58" s="987"/>
    </row>
    <row r="59" spans="1:10" ht="31.5">
      <c r="A59" s="1156" t="str">
        <f t="shared" si="0"/>
        <v>F-02.00_430</v>
      </c>
      <c r="B59" s="361" t="s">
        <v>331</v>
      </c>
      <c r="C59" s="1709" t="s">
        <v>286</v>
      </c>
      <c r="D59" s="15" t="s">
        <v>528</v>
      </c>
      <c r="E59" s="58" t="s">
        <v>2110</v>
      </c>
      <c r="F59" s="707">
        <f>SUM($F$60:$F$61)</f>
        <v>0</v>
      </c>
      <c r="G59" s="991"/>
      <c r="H59" s="1226">
        <f>IF('20'!$G$8="N",0,IF($F$59='20'!$E$115+'20'!$F$115,0,"(F2,r430)=sum(F20.3,r180,c10-20)"))</f>
        <v>0</v>
      </c>
      <c r="I59" s="660"/>
      <c r="J59" s="987"/>
    </row>
    <row r="60" spans="1:10" ht="31.5">
      <c r="A60" s="1156" t="str">
        <f t="shared" si="0"/>
        <v>F-02.00_440</v>
      </c>
      <c r="B60" s="361">
        <v>440</v>
      </c>
      <c r="C60" s="47" t="s">
        <v>465</v>
      </c>
      <c r="D60" s="1609" t="s">
        <v>2111</v>
      </c>
      <c r="E60" s="315"/>
      <c r="F60" s="1175"/>
      <c r="G60" s="991"/>
      <c r="H60" s="660"/>
      <c r="I60" s="660"/>
      <c r="J60" s="987"/>
    </row>
    <row r="61" spans="1:10">
      <c r="A61" s="1156" t="str">
        <f t="shared" si="0"/>
        <v>F-02.00_450</v>
      </c>
      <c r="B61" s="361" t="s">
        <v>332</v>
      </c>
      <c r="C61" s="47" t="s">
        <v>279</v>
      </c>
      <c r="D61" s="15"/>
      <c r="E61" s="58"/>
      <c r="F61" s="1175"/>
      <c r="G61" s="1174"/>
      <c r="H61" s="660"/>
      <c r="I61" s="660"/>
      <c r="J61" s="987"/>
    </row>
    <row r="62" spans="1:10" ht="31.5">
      <c r="A62" s="1156" t="str">
        <f t="shared" si="0"/>
        <v>F-02.00_460</v>
      </c>
      <c r="B62" s="361" t="s">
        <v>333</v>
      </c>
      <c r="C62" s="21" t="s">
        <v>348</v>
      </c>
      <c r="D62" s="15" t="s">
        <v>2098</v>
      </c>
      <c r="E62" s="58">
        <v>12</v>
      </c>
      <c r="F62" s="707">
        <f>SUM($F$63:$F$64)</f>
        <v>0</v>
      </c>
      <c r="G62" s="1174"/>
      <c r="H62" s="1226">
        <f>IF('20'!$G$8="N",0,IF($F$62='20'!$E$116+'20'!$F$116,0,"(F2,r460)=sum(F20.3,r190,c10-20)"))</f>
        <v>0</v>
      </c>
      <c r="I62" s="660"/>
      <c r="J62" s="987"/>
    </row>
    <row r="63" spans="1:10" ht="21">
      <c r="A63" s="1156" t="str">
        <f t="shared" si="0"/>
        <v>F-02.00_481</v>
      </c>
      <c r="B63" s="361">
        <v>481</v>
      </c>
      <c r="C63" s="8" t="s">
        <v>2099</v>
      </c>
      <c r="D63" s="15" t="s">
        <v>2100</v>
      </c>
      <c r="E63" s="58">
        <v>12</v>
      </c>
      <c r="F63" s="1175"/>
      <c r="G63" s="1484"/>
      <c r="H63" s="1484"/>
      <c r="I63" s="660"/>
      <c r="J63" s="987"/>
    </row>
    <row r="64" spans="1:10">
      <c r="A64" s="1156" t="str">
        <f t="shared" si="0"/>
        <v>F-02.00_491</v>
      </c>
      <c r="B64" s="361">
        <v>491</v>
      </c>
      <c r="C64" s="8" t="s">
        <v>2101</v>
      </c>
      <c r="D64" s="15" t="s">
        <v>2102</v>
      </c>
      <c r="E64" s="58">
        <v>12</v>
      </c>
      <c r="F64" s="1175"/>
      <c r="G64" s="1484"/>
      <c r="H64" s="1484"/>
      <c r="I64" s="660"/>
      <c r="J64" s="987"/>
    </row>
    <row r="65" spans="1:10" ht="21">
      <c r="A65" s="1156" t="str">
        <f t="shared" si="0"/>
        <v>F-02.00_510</v>
      </c>
      <c r="B65" s="363" t="s">
        <v>334</v>
      </c>
      <c r="C65" s="21" t="s">
        <v>2103</v>
      </c>
      <c r="D65" s="15" t="s">
        <v>378</v>
      </c>
      <c r="E65" s="58">
        <v>16</v>
      </c>
      <c r="F65" s="707">
        <f>SUM('16'!$E$177+'16'!$F$177)</f>
        <v>0</v>
      </c>
      <c r="G65" s="1181"/>
      <c r="H65" s="1226">
        <f>IF('20'!$G$8="N",0,IF($F$65='20'!$E$117+'20'!$F$117,0,"(F2,r510)=sum(F20.3,r200,c10-20)"))</f>
        <v>0</v>
      </c>
      <c r="I65" s="660"/>
      <c r="J65" s="987"/>
    </row>
    <row r="66" spans="1:10">
      <c r="A66" s="1156" t="str">
        <f t="shared" si="0"/>
        <v>F-02.00_520</v>
      </c>
      <c r="B66" s="363" t="s">
        <v>335</v>
      </c>
      <c r="C66" s="21" t="s">
        <v>466</v>
      </c>
      <c r="D66" s="15" t="s">
        <v>529</v>
      </c>
      <c r="E66" s="58">
        <v>16</v>
      </c>
      <c r="F66" s="707">
        <f>SUM($F$67:$F$71)</f>
        <v>0</v>
      </c>
      <c r="G66" s="1181"/>
      <c r="H66" s="1226">
        <f>IF('20'!$G$8="N",0,IF($F$66='20'!$E$118+'20'!$F$118,0,"(F2,r520)=sum(F20.3,r210,c10-20)"))</f>
        <v>0</v>
      </c>
      <c r="I66" s="660"/>
      <c r="J66" s="987"/>
    </row>
    <row r="67" spans="1:10">
      <c r="A67" s="1156" t="str">
        <f t="shared" si="0"/>
        <v>F-02.00_530</v>
      </c>
      <c r="B67" s="363" t="s">
        <v>336</v>
      </c>
      <c r="C67" s="2" t="s">
        <v>26</v>
      </c>
      <c r="D67" s="15" t="s">
        <v>520</v>
      </c>
      <c r="E67" s="58"/>
      <c r="F67" s="1079">
        <f>'16'!$E$182+'16'!$F$182</f>
        <v>0</v>
      </c>
      <c r="G67" s="991"/>
      <c r="H67" s="660"/>
      <c r="I67" s="660"/>
      <c r="J67" s="987"/>
    </row>
    <row r="68" spans="1:10">
      <c r="A68" s="1156" t="str">
        <f t="shared" si="0"/>
        <v>F-02.00_540</v>
      </c>
      <c r="B68" s="363" t="s">
        <v>337</v>
      </c>
      <c r="C68" s="10" t="s">
        <v>27</v>
      </c>
      <c r="D68" s="15" t="s">
        <v>521</v>
      </c>
      <c r="E68" s="58"/>
      <c r="F68" s="1079">
        <f>'16'!$E$183+'16'!$F$183</f>
        <v>0</v>
      </c>
      <c r="G68" s="991"/>
      <c r="H68" s="660"/>
      <c r="I68" s="660"/>
      <c r="J68" s="987"/>
    </row>
    <row r="69" spans="1:10" ht="21">
      <c r="A69" s="1156" t="str">
        <f t="shared" si="0"/>
        <v>F-02.00_550</v>
      </c>
      <c r="B69" s="363" t="s">
        <v>338</v>
      </c>
      <c r="C69" s="10" t="s">
        <v>28</v>
      </c>
      <c r="D69" s="15" t="s">
        <v>530</v>
      </c>
      <c r="E69" s="58"/>
      <c r="F69" s="1079">
        <f>'16'!$E$184</f>
        <v>0</v>
      </c>
      <c r="G69" s="991"/>
      <c r="H69" s="660"/>
      <c r="I69" s="660"/>
      <c r="J69" s="987"/>
    </row>
    <row r="70" spans="1:10">
      <c r="A70" s="1156" t="str">
        <f t="shared" si="0"/>
        <v>F-02.00_560</v>
      </c>
      <c r="B70" s="363">
        <v>560</v>
      </c>
      <c r="C70" s="10" t="s">
        <v>47</v>
      </c>
      <c r="D70" s="15" t="s">
        <v>531</v>
      </c>
      <c r="E70" s="58"/>
      <c r="F70" s="943"/>
      <c r="G70" s="987"/>
      <c r="H70" s="660"/>
      <c r="I70" s="660"/>
      <c r="J70" s="987"/>
    </row>
    <row r="71" spans="1:10">
      <c r="A71" s="1156" t="str">
        <f t="shared" si="0"/>
        <v>F-02.00_570</v>
      </c>
      <c r="B71" s="363">
        <v>570</v>
      </c>
      <c r="C71" s="10" t="s">
        <v>29</v>
      </c>
      <c r="D71" s="15" t="s">
        <v>532</v>
      </c>
      <c r="E71" s="58"/>
      <c r="F71" s="1079">
        <f>'16'!$E$186+'16'!$F$186</f>
        <v>0</v>
      </c>
      <c r="G71" s="991"/>
      <c r="H71" s="660"/>
      <c r="I71" s="660"/>
      <c r="J71" s="987"/>
    </row>
    <row r="72" spans="1:10">
      <c r="A72" s="1156" t="str">
        <f t="shared" si="0"/>
        <v>F-02.00_580</v>
      </c>
      <c r="B72" s="363">
        <v>580</v>
      </c>
      <c r="C72" s="22" t="s">
        <v>247</v>
      </c>
      <c r="D72" s="244" t="s">
        <v>533</v>
      </c>
      <c r="E72" s="57"/>
      <c r="F72" s="891"/>
      <c r="G72" s="991"/>
      <c r="H72" s="1226">
        <f>IF('20'!$G$8="N",0,IF($F$72='20'!$E$119+'20'!$F$119,0,"(F2,r580)=sum(F20.3,r220,c10-20)"))</f>
        <v>0</v>
      </c>
      <c r="I72" s="660"/>
      <c r="J72" s="987"/>
    </row>
    <row r="73" spans="1:10" ht="21">
      <c r="A73" s="1156" t="str">
        <f t="shared" si="0"/>
        <v>F-02.00_590</v>
      </c>
      <c r="B73" s="363">
        <v>590</v>
      </c>
      <c r="C73" s="22" t="s">
        <v>2104</v>
      </c>
      <c r="D73" s="244" t="s">
        <v>1705</v>
      </c>
      <c r="E73" s="1607"/>
      <c r="F73" s="943"/>
      <c r="G73" s="991"/>
      <c r="H73" s="1226">
        <f>IF('20'!$G$8="N",0,IF($F$73='20'!$E$120+'20'!$F$120,0,"(F2,r590)=sum(F20.3,r230,c10-20)"))</f>
        <v>0</v>
      </c>
      <c r="I73" s="660"/>
      <c r="J73" s="987"/>
    </row>
    <row r="74" spans="1:10" ht="21">
      <c r="A74" s="1156" t="str">
        <f t="shared" si="0"/>
        <v>F-02.00_600</v>
      </c>
      <c r="B74" s="364">
        <v>600</v>
      </c>
      <c r="C74" s="23" t="s">
        <v>288</v>
      </c>
      <c r="D74" s="26" t="s">
        <v>1706</v>
      </c>
      <c r="E74" s="76"/>
      <c r="F74" s="943"/>
      <c r="G74" s="991"/>
      <c r="H74" s="1226">
        <f>IF('20'!$G$8="N",0,IF($F$74='20'!$E$121+'20'!$F$121,0,"(F2,r600)=sum(F20.3,r240,c10-20)"))</f>
        <v>0</v>
      </c>
      <c r="I74" s="660"/>
      <c r="J74" s="991"/>
    </row>
    <row r="75" spans="1:10">
      <c r="A75" s="1156" t="str">
        <f t="shared" si="0"/>
        <v>F-02.00_610</v>
      </c>
      <c r="B75" s="376">
        <v>610</v>
      </c>
      <c r="C75" s="23" t="s">
        <v>373</v>
      </c>
      <c r="D75" s="26" t="s">
        <v>2</v>
      </c>
      <c r="E75" s="76"/>
      <c r="F75" s="707">
        <f>$F$11-$F$20-$F$27+$F$28+$F$33-$F$34+$F$35+$F$40+$F$41+$F$42+$F$43+$F$44+$F$45+$F$46-$F$47-$F$49-$F$52+$F$56-$F$59-$F$62-$F$65-$F$66+$F$72+$F$73+$F$74</f>
        <v>0</v>
      </c>
      <c r="G75" s="991"/>
      <c r="H75" s="1226">
        <f>IF('20'!$G$8="N",0,IF($F$75='20'!$E$122+'20'!$F$122,0,"(F2,r610)=sum(F20.3,r250,c10-20)"))</f>
        <v>0</v>
      </c>
      <c r="I75" s="660"/>
      <c r="J75" s="991"/>
    </row>
    <row r="76" spans="1:10" ht="21">
      <c r="A76" s="1156" t="str">
        <f t="shared" si="0"/>
        <v>F-02.00_620</v>
      </c>
      <c r="B76" s="377">
        <v>620</v>
      </c>
      <c r="C76" s="23" t="s">
        <v>289</v>
      </c>
      <c r="D76" s="26" t="s">
        <v>534</v>
      </c>
      <c r="E76" s="76"/>
      <c r="F76" s="943"/>
      <c r="G76" s="991"/>
      <c r="H76" s="1226">
        <f>IF('20'!$G$8="N",0,IF($F$76='20'!$E$123+'20'!$F$123,0,"(F2,r620)=sum(F20.3,r260,c10-20)"))</f>
        <v>0</v>
      </c>
      <c r="I76" s="660"/>
      <c r="J76" s="991"/>
    </row>
    <row r="77" spans="1:10">
      <c r="A77" s="1156" t="str">
        <f t="shared" si="0"/>
        <v>F-02.00_630</v>
      </c>
      <c r="B77" s="376">
        <v>630</v>
      </c>
      <c r="C77" s="23" t="s">
        <v>374</v>
      </c>
      <c r="D77" s="26" t="s">
        <v>3</v>
      </c>
      <c r="E77" s="54"/>
      <c r="F77" s="707">
        <f>$F$75-$F$76</f>
        <v>0</v>
      </c>
      <c r="G77" s="991"/>
      <c r="H77" s="1226">
        <f>IF('20'!$G$8="N",0,IF($F$77='20'!$E$124+'20'!$F$124,0,"(F2,r630)=sum(F20.3,r270,c10-20)"))</f>
        <v>0</v>
      </c>
      <c r="I77" s="660"/>
      <c r="J77" s="991"/>
    </row>
    <row r="78" spans="1:10" ht="21">
      <c r="A78" s="1156" t="str">
        <f t="shared" si="0"/>
        <v>F-02.00_640</v>
      </c>
      <c r="B78" s="363">
        <v>640</v>
      </c>
      <c r="C78" s="51" t="s">
        <v>349</v>
      </c>
      <c r="D78" s="244" t="s">
        <v>1707</v>
      </c>
      <c r="E78" s="57"/>
      <c r="F78" s="707">
        <f>$F$79-$F$80</f>
        <v>0</v>
      </c>
      <c r="G78" s="991"/>
      <c r="H78" s="1226">
        <f>IF('20'!$G$8="N",0,IF($F$78='20'!$E$125+'20'!$F$125,0,"(F2,r640)=sum(F20.3,r280,c10-20)"))</f>
        <v>0</v>
      </c>
      <c r="I78" s="660"/>
      <c r="J78" s="991"/>
    </row>
    <row r="79" spans="1:10">
      <c r="A79" s="1156" t="str">
        <f t="shared" si="0"/>
        <v>F-02.00_650</v>
      </c>
      <c r="B79" s="363">
        <v>650</v>
      </c>
      <c r="C79" s="48" t="s">
        <v>280</v>
      </c>
      <c r="D79" s="244" t="s">
        <v>535</v>
      </c>
      <c r="E79" s="49"/>
      <c r="F79" s="944"/>
      <c r="G79" s="991"/>
      <c r="H79" s="1226"/>
      <c r="I79" s="660"/>
      <c r="J79" s="991"/>
    </row>
    <row r="80" spans="1:10">
      <c r="A80" s="1156" t="str">
        <f t="shared" si="0"/>
        <v>F-02.00_660</v>
      </c>
      <c r="B80" s="364">
        <v>660</v>
      </c>
      <c r="C80" s="207" t="s">
        <v>281</v>
      </c>
      <c r="D80" s="1608" t="s">
        <v>536</v>
      </c>
      <c r="E80" s="54"/>
      <c r="F80" s="945"/>
      <c r="G80" s="991"/>
      <c r="H80" s="1226"/>
      <c r="I80" s="660"/>
      <c r="J80" s="991"/>
    </row>
    <row r="81" spans="1:10">
      <c r="A81" s="1156" t="str">
        <f t="shared" si="0"/>
        <v>F-02.00_670</v>
      </c>
      <c r="B81" s="376">
        <v>670</v>
      </c>
      <c r="C81" s="23" t="s">
        <v>375</v>
      </c>
      <c r="D81" s="618" t="s">
        <v>691</v>
      </c>
      <c r="E81" s="54"/>
      <c r="F81" s="707">
        <f>SUM($F$77+$F$78)</f>
        <v>0</v>
      </c>
      <c r="G81" s="987">
        <f>IF($F$81=$F$82+$F$83,0,"r670= r680 + r690")</f>
        <v>0</v>
      </c>
      <c r="H81" s="1226">
        <f>IF('20'!$G$8="N",0,IF($F$81='20'!$E$126+'20'!$F$126,0,"(F2,r670)=sum(F20.3,r290,c10-20)"))</f>
        <v>0</v>
      </c>
      <c r="I81" s="660"/>
      <c r="J81" s="991"/>
    </row>
    <row r="82" spans="1:10">
      <c r="A82" s="1156" t="str">
        <f>$A$1&amp;"_"&amp;B82</f>
        <v>F-02.00_680</v>
      </c>
      <c r="B82" s="363">
        <v>680</v>
      </c>
      <c r="C82" s="27" t="s">
        <v>17</v>
      </c>
      <c r="D82" s="28" t="s">
        <v>2105</v>
      </c>
      <c r="E82" s="77"/>
      <c r="F82" s="943"/>
      <c r="G82" s="991"/>
      <c r="H82" s="660"/>
      <c r="I82" s="660"/>
      <c r="J82" s="991"/>
    </row>
    <row r="83" spans="1:10">
      <c r="A83" s="1156" t="str">
        <f>$A$1&amp;"_"&amp;B83</f>
        <v>F-02.00_690</v>
      </c>
      <c r="B83" s="378">
        <v>690</v>
      </c>
      <c r="C83" s="25" t="s">
        <v>467</v>
      </c>
      <c r="D83" s="621" t="s">
        <v>690</v>
      </c>
      <c r="E83" s="76"/>
      <c r="F83" s="1176"/>
      <c r="G83" s="991"/>
      <c r="H83" s="660"/>
      <c r="I83" s="660"/>
      <c r="J83" s="991"/>
    </row>
    <row r="84" spans="1:10">
      <c r="A84" s="1156" t="s">
        <v>724</v>
      </c>
      <c r="D84" s="13"/>
      <c r="E84" s="73"/>
      <c r="H84" s="622"/>
    </row>
  </sheetData>
  <sheetProtection password="C2F4" sheet="1" objects="1" scenarios="1"/>
  <dataValidations count="4">
    <dataValidation type="whole" allowBlank="1" showInputMessage="1" showErrorMessage="1" error="wrong number format or sign" sqref="F73:F83 F65:F66 F70 F57:F64 F35:F45">
      <formula1>-99999999</formula1>
      <formula2>99999999</formula2>
    </dataValidation>
    <dataValidation type="whole" allowBlank="1" showInputMessage="1" showErrorMessage="1" error="wrong number format or sign_x000a_" sqref="F67:F69 F72 F46:F56 F11:F34">
      <formula1>0</formula1>
      <formula2>99999999</formula2>
    </dataValidation>
    <dataValidation type="whole" allowBlank="1" showInputMessage="1" showErrorMessage="1" error="Wrong number format" sqref="G43 G65">
      <formula1>-99999999</formula1>
      <formula2>99999999</formula2>
    </dataValidation>
    <dataValidation type="whole" allowBlank="1" showInputMessage="1" showErrorMessage="1" error="wrong number format_x000a_" sqref="F71">
      <formula1>-99999999</formula1>
      <formula2>99999999</formula2>
    </dataValidation>
  </dataValidations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scale="57" orientation="landscape" cellComments="asDisplayed" r:id="rId1"/>
  <headerFooter scaleWithDoc="0" alignWithMargins="0"/>
  <rowBreaks count="1" manualBreakCount="1">
    <brk id="58" max="7" man="1"/>
  </rowBreaks>
  <ignoredErrors>
    <ignoredError sqref="B65:B83 F10 B17:B18 B11:B12 B14 B29 B33:B35 B38:B40 B42:B55 B59:B6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  <pageSetUpPr fitToPage="1"/>
  </sheetPr>
  <dimension ref="A1:O58"/>
  <sheetViews>
    <sheetView topLeftCell="B6" zoomScaleNormal="100" zoomScaleSheetLayoutView="100" workbookViewId="0">
      <selection activeCell="B6" sqref="B6"/>
    </sheetView>
  </sheetViews>
  <sheetFormatPr defaultColWidth="9.140625" defaultRowHeight="12.75"/>
  <cols>
    <col min="1" max="1" width="13.5703125" style="1156" hidden="1" customWidth="1"/>
    <col min="2" max="2" width="3.7109375" style="124" customWidth="1"/>
    <col min="3" max="3" width="83.5703125" style="124" customWidth="1"/>
    <col min="4" max="4" width="34" style="347" customWidth="1"/>
    <col min="5" max="5" width="41.7109375" style="124" bestFit="1" customWidth="1"/>
    <col min="6" max="6" width="5" style="124" customWidth="1"/>
    <col min="7" max="16384" width="9.140625" style="124"/>
  </cols>
  <sheetData>
    <row r="1" spans="1:15" s="1097" customFormat="1" ht="18" hidden="1" customHeight="1">
      <c r="A1" s="1096" t="s">
        <v>1235</v>
      </c>
      <c r="B1" s="1118">
        <v>2</v>
      </c>
      <c r="C1" s="1118">
        <v>1</v>
      </c>
      <c r="D1" s="1119">
        <v>11</v>
      </c>
      <c r="E1" s="1182">
        <v>5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15" s="1097" customFormat="1" ht="18" hidden="1" customHeight="1">
      <c r="A2" s="1096" t="str">
        <f>Index!$A$2</f>
        <v>V20181222</v>
      </c>
      <c r="B2" s="1098"/>
      <c r="C2" s="1099"/>
      <c r="D2" s="1100"/>
      <c r="E2" s="1100" t="str">
        <f>$A$1&amp;"_"&amp;E10</f>
        <v>F-03.00_010</v>
      </c>
      <c r="F2" s="1100"/>
      <c r="G2" s="1100"/>
      <c r="H2" s="1100"/>
      <c r="I2" s="1100"/>
      <c r="J2" s="1100"/>
      <c r="K2" s="1100"/>
      <c r="L2" s="1100"/>
      <c r="M2" s="1100"/>
      <c r="N2" s="1101"/>
    </row>
    <row r="3" spans="1:15" s="1097" customFormat="1" ht="18" hidden="1" customHeight="1">
      <c r="A3" s="1096" t="str">
        <f>"R:A1:P"&amp;ROW(A58)+1</f>
        <v>R:A1:P59</v>
      </c>
      <c r="B3" s="1102"/>
      <c r="C3" s="1103"/>
      <c r="D3" s="1104"/>
      <c r="E3" s="1105"/>
      <c r="F3" s="1106"/>
      <c r="G3" s="1107"/>
      <c r="H3" s="1107"/>
      <c r="I3" s="1107"/>
      <c r="J3" s="1107"/>
      <c r="K3" s="1107"/>
    </row>
    <row r="4" spans="1:15" s="1097" customFormat="1" ht="18" hidden="1" customHeight="1">
      <c r="A4" s="1096"/>
      <c r="B4" s="1102"/>
      <c r="C4" s="1103"/>
      <c r="D4" s="1108"/>
      <c r="E4" s="1109"/>
      <c r="F4" s="1110"/>
      <c r="G4" s="1111">
        <f>N5</f>
        <v>0</v>
      </c>
      <c r="H4" s="1107"/>
      <c r="I4" s="1107"/>
      <c r="J4" s="1107"/>
      <c r="K4" s="1107"/>
    </row>
    <row r="5" spans="1:15" s="1097" customFormat="1" ht="18" hidden="1" customHeight="1">
      <c r="A5" s="1096"/>
      <c r="B5" s="1102"/>
      <c r="C5" s="1103"/>
      <c r="D5" s="1112"/>
      <c r="E5" s="1113"/>
      <c r="F5" s="1114"/>
      <c r="N5" s="1097">
        <f>COUNTIF(B56:F59,"&lt;&gt;0")-COUNTBLANK(B56:F59)+ COUNTIF(F11:F55,"&lt;&gt;0")-COUNTBLANK(F11:F55)</f>
        <v>0</v>
      </c>
    </row>
    <row r="6" spans="1:15" s="1116" customFormat="1">
      <c r="A6" s="1100" t="s">
        <v>718</v>
      </c>
      <c r="B6" s="1115"/>
    </row>
    <row r="7" spans="1:15">
      <c r="A7" s="1100" t="s">
        <v>718</v>
      </c>
      <c r="B7" s="88" t="s">
        <v>562</v>
      </c>
    </row>
    <row r="8" spans="1:15">
      <c r="A8" s="1100" t="s">
        <v>718</v>
      </c>
    </row>
    <row r="9" spans="1:15" ht="27" customHeight="1">
      <c r="A9" s="1100" t="s">
        <v>718</v>
      </c>
      <c r="B9" s="586"/>
      <c r="C9" s="379"/>
      <c r="D9" s="602" t="s">
        <v>551</v>
      </c>
      <c r="E9" s="381" t="s">
        <v>54</v>
      </c>
    </row>
    <row r="10" spans="1:15" ht="10.15" customHeight="1">
      <c r="A10" s="1100" t="s">
        <v>718</v>
      </c>
      <c r="B10" s="382"/>
      <c r="C10" s="383"/>
      <c r="D10" s="384"/>
      <c r="E10" s="385" t="s">
        <v>292</v>
      </c>
    </row>
    <row r="11" spans="1:15" ht="21">
      <c r="A11" s="1156" t="str">
        <f t="shared" ref="A11:A55" si="0">$A$1&amp;"_"&amp;B11</f>
        <v>F-03.00_010</v>
      </c>
      <c r="B11" s="376" t="s">
        <v>292</v>
      </c>
      <c r="C11" s="191" t="s">
        <v>291</v>
      </c>
      <c r="D11" s="278" t="s">
        <v>2063</v>
      </c>
      <c r="E11" s="1849"/>
    </row>
    <row r="12" spans="1:15" ht="21">
      <c r="A12" s="1156" t="str">
        <f t="shared" si="0"/>
        <v>F-03.00_020</v>
      </c>
      <c r="B12" s="376" t="s">
        <v>293</v>
      </c>
      <c r="C12" s="125" t="s">
        <v>198</v>
      </c>
      <c r="D12" s="278" t="s">
        <v>2063</v>
      </c>
      <c r="E12" s="1849"/>
    </row>
    <row r="13" spans="1:15" ht="21">
      <c r="A13" s="1156" t="str">
        <f t="shared" si="0"/>
        <v>F-03.00_030</v>
      </c>
      <c r="B13" s="386" t="s">
        <v>294</v>
      </c>
      <c r="C13" s="215" t="s">
        <v>256</v>
      </c>
      <c r="D13" s="89" t="s">
        <v>2064</v>
      </c>
      <c r="E13" s="1849"/>
    </row>
    <row r="14" spans="1:15" ht="21">
      <c r="A14" s="1156" t="str">
        <f t="shared" si="0"/>
        <v>F-03.00_040</v>
      </c>
      <c r="B14" s="363" t="s">
        <v>295</v>
      </c>
      <c r="C14" s="162" t="s">
        <v>193</v>
      </c>
      <c r="D14" s="204" t="s">
        <v>358</v>
      </c>
      <c r="E14" s="1849"/>
    </row>
    <row r="15" spans="1:15" ht="21">
      <c r="A15" s="1156" t="str">
        <f t="shared" si="0"/>
        <v>F-03.00_050</v>
      </c>
      <c r="B15" s="363" t="s">
        <v>296</v>
      </c>
      <c r="C15" s="163" t="s">
        <v>194</v>
      </c>
      <c r="D15" s="115" t="s">
        <v>199</v>
      </c>
      <c r="E15" s="1849"/>
    </row>
    <row r="16" spans="1:15" ht="21">
      <c r="A16" s="1156" t="str">
        <f t="shared" si="0"/>
        <v>F-03.00_060</v>
      </c>
      <c r="B16" s="363" t="s">
        <v>297</v>
      </c>
      <c r="C16" s="163" t="s">
        <v>411</v>
      </c>
      <c r="D16" s="160" t="s">
        <v>2065</v>
      </c>
      <c r="E16" s="1849"/>
    </row>
    <row r="17" spans="1:5" ht="21">
      <c r="A17" s="1156" t="str">
        <f t="shared" si="0"/>
        <v>F-03.00_070</v>
      </c>
      <c r="B17" s="363" t="s">
        <v>298</v>
      </c>
      <c r="C17" s="165" t="s">
        <v>196</v>
      </c>
      <c r="D17" s="160" t="s">
        <v>206</v>
      </c>
      <c r="E17" s="1849"/>
    </row>
    <row r="18" spans="1:5" ht="21">
      <c r="A18" s="1156" t="str">
        <f t="shared" si="0"/>
        <v>F-03.00_080</v>
      </c>
      <c r="B18" s="363" t="s">
        <v>299</v>
      </c>
      <c r="C18" s="165" t="s">
        <v>207</v>
      </c>
      <c r="D18" s="160" t="s">
        <v>2066</v>
      </c>
      <c r="E18" s="1849"/>
    </row>
    <row r="19" spans="1:5" ht="21">
      <c r="A19" s="1156" t="str">
        <f t="shared" si="0"/>
        <v>F-03.00_081</v>
      </c>
      <c r="B19" s="1543" t="s">
        <v>2041</v>
      </c>
      <c r="C19" s="8" t="s">
        <v>2042</v>
      </c>
      <c r="D19" s="14" t="s">
        <v>2043</v>
      </c>
      <c r="E19" s="1849"/>
    </row>
    <row r="20" spans="1:5" ht="21">
      <c r="A20" s="1156" t="str">
        <f t="shared" si="0"/>
        <v>F-03.00_083</v>
      </c>
      <c r="B20" s="1543" t="s">
        <v>1692</v>
      </c>
      <c r="C20" s="8" t="s">
        <v>2044</v>
      </c>
      <c r="D20" s="14" t="s">
        <v>2045</v>
      </c>
      <c r="E20" s="1849"/>
    </row>
    <row r="21" spans="1:5" ht="21">
      <c r="A21" s="1156" t="str">
        <f t="shared" si="0"/>
        <v>F-03.00_084</v>
      </c>
      <c r="B21" s="1543" t="s">
        <v>2046</v>
      </c>
      <c r="C21" s="1704" t="s">
        <v>2047</v>
      </c>
      <c r="D21" s="14" t="s">
        <v>2053</v>
      </c>
      <c r="E21" s="1849"/>
    </row>
    <row r="22" spans="1:5" ht="21">
      <c r="A22" s="1156" t="str">
        <f t="shared" si="0"/>
        <v>F-03.00_085</v>
      </c>
      <c r="B22" s="1543" t="s">
        <v>1548</v>
      </c>
      <c r="C22" s="1704" t="s">
        <v>2048</v>
      </c>
      <c r="D22" s="14" t="s">
        <v>2049</v>
      </c>
      <c r="E22" s="1849"/>
    </row>
    <row r="23" spans="1:5" ht="21">
      <c r="A23" s="1156" t="str">
        <f t="shared" si="0"/>
        <v>F-03.00_086</v>
      </c>
      <c r="B23" s="1543" t="s">
        <v>2050</v>
      </c>
      <c r="C23" s="8" t="s">
        <v>2051</v>
      </c>
      <c r="D23" s="14" t="s">
        <v>2052</v>
      </c>
      <c r="E23" s="1849"/>
    </row>
    <row r="24" spans="1:5" ht="21">
      <c r="A24" s="1156" t="str">
        <f t="shared" si="0"/>
        <v>F-03.00_090</v>
      </c>
      <c r="B24" s="363" t="s">
        <v>300</v>
      </c>
      <c r="C24" s="247" t="s">
        <v>248</v>
      </c>
      <c r="D24" s="248" t="s">
        <v>2067</v>
      </c>
      <c r="E24" s="1849"/>
    </row>
    <row r="25" spans="1:5" ht="21">
      <c r="A25" s="1156" t="str">
        <f t="shared" si="0"/>
        <v>F-03.00_100</v>
      </c>
      <c r="B25" s="363" t="s">
        <v>301</v>
      </c>
      <c r="C25" s="220" t="s">
        <v>257</v>
      </c>
      <c r="D25" s="160" t="s">
        <v>2068</v>
      </c>
      <c r="E25" s="1849"/>
    </row>
    <row r="26" spans="1:5" ht="31.5">
      <c r="A26" s="1156" t="str">
        <f t="shared" si="0"/>
        <v>F-03.00_110</v>
      </c>
      <c r="B26" s="363" t="s">
        <v>302</v>
      </c>
      <c r="C26" s="163" t="s">
        <v>195</v>
      </c>
      <c r="D26" s="115" t="s">
        <v>2069</v>
      </c>
      <c r="E26" s="1849"/>
    </row>
    <row r="27" spans="1:5" ht="21">
      <c r="A27" s="1156" t="str">
        <f t="shared" si="0"/>
        <v>F-03.00_120</v>
      </c>
      <c r="B27" s="363" t="s">
        <v>303</v>
      </c>
      <c r="C27" s="164" t="s">
        <v>359</v>
      </c>
      <c r="D27" s="115" t="s">
        <v>2070</v>
      </c>
      <c r="E27" s="1849"/>
    </row>
    <row r="28" spans="1:5" ht="21">
      <c r="A28" s="1156" t="str">
        <f t="shared" si="0"/>
        <v>F-03.00_130</v>
      </c>
      <c r="B28" s="363" t="s">
        <v>304</v>
      </c>
      <c r="C28" s="164" t="s">
        <v>200</v>
      </c>
      <c r="D28" s="160" t="s">
        <v>2071</v>
      </c>
      <c r="E28" s="1849"/>
    </row>
    <row r="29" spans="1:5" ht="21">
      <c r="A29" s="1156" t="str">
        <f t="shared" si="0"/>
        <v>F-03.00_140</v>
      </c>
      <c r="B29" s="363" t="s">
        <v>305</v>
      </c>
      <c r="C29" s="164" t="s">
        <v>201</v>
      </c>
      <c r="D29" s="115" t="s">
        <v>2056</v>
      </c>
      <c r="E29" s="1849"/>
    </row>
    <row r="30" spans="1:5" ht="21">
      <c r="A30" s="1156" t="str">
        <f t="shared" si="0"/>
        <v>F-03.00_150</v>
      </c>
      <c r="B30" s="363" t="s">
        <v>306</v>
      </c>
      <c r="C30" s="163" t="s">
        <v>33</v>
      </c>
      <c r="D30" s="160" t="s">
        <v>514</v>
      </c>
      <c r="E30" s="1849"/>
    </row>
    <row r="31" spans="1:5" ht="21">
      <c r="A31" s="1156" t="str">
        <f t="shared" si="0"/>
        <v>F-03.00_160</v>
      </c>
      <c r="B31" s="363" t="s">
        <v>307</v>
      </c>
      <c r="C31" s="164" t="s">
        <v>360</v>
      </c>
      <c r="D31" s="115" t="s">
        <v>202</v>
      </c>
      <c r="E31" s="1849"/>
    </row>
    <row r="32" spans="1:5" ht="21">
      <c r="A32" s="1156" t="str">
        <f t="shared" si="0"/>
        <v>F-03.00_170</v>
      </c>
      <c r="B32" s="363" t="s">
        <v>308</v>
      </c>
      <c r="C32" s="164" t="s">
        <v>200</v>
      </c>
      <c r="D32" s="160" t="s">
        <v>361</v>
      </c>
      <c r="E32" s="1849"/>
    </row>
    <row r="33" spans="1:5" ht="21">
      <c r="A33" s="1156" t="str">
        <f t="shared" si="0"/>
        <v>F-03.00_180</v>
      </c>
      <c r="B33" s="363" t="s">
        <v>309</v>
      </c>
      <c r="C33" s="164" t="s">
        <v>201</v>
      </c>
      <c r="D33" s="115" t="s">
        <v>2056</v>
      </c>
      <c r="E33" s="1849"/>
    </row>
    <row r="34" spans="1:5" ht="21">
      <c r="A34" s="1156" t="str">
        <f t="shared" si="0"/>
        <v>F-03.00_190</v>
      </c>
      <c r="B34" s="363" t="s">
        <v>310</v>
      </c>
      <c r="C34" s="163" t="s">
        <v>203</v>
      </c>
      <c r="D34" s="160" t="s">
        <v>2072</v>
      </c>
      <c r="E34" s="1850"/>
    </row>
    <row r="35" spans="1:5" ht="31.5">
      <c r="A35" s="1156" t="str">
        <f t="shared" si="0"/>
        <v>F-03.00_200</v>
      </c>
      <c r="B35" s="363">
        <v>200</v>
      </c>
      <c r="C35" s="164" t="s">
        <v>359</v>
      </c>
      <c r="D35" s="115" t="s">
        <v>2073</v>
      </c>
      <c r="E35" s="1849"/>
    </row>
    <row r="36" spans="1:5" ht="42">
      <c r="A36" s="1156" t="str">
        <f t="shared" si="0"/>
        <v>F-03.00_210</v>
      </c>
      <c r="B36" s="363">
        <v>210</v>
      </c>
      <c r="C36" s="164" t="s">
        <v>200</v>
      </c>
      <c r="D36" s="160" t="s">
        <v>2074</v>
      </c>
      <c r="E36" s="1849"/>
    </row>
    <row r="37" spans="1:5">
      <c r="A37" s="1156" t="str">
        <f t="shared" si="0"/>
        <v>F-03.00_220</v>
      </c>
      <c r="B37" s="363">
        <v>220</v>
      </c>
      <c r="C37" s="164" t="s">
        <v>204</v>
      </c>
      <c r="D37" s="115" t="s">
        <v>2075</v>
      </c>
      <c r="E37" s="1849"/>
    </row>
    <row r="38" spans="1:5">
      <c r="A38" s="1156" t="str">
        <f t="shared" si="0"/>
        <v>F-03.00_230</v>
      </c>
      <c r="B38" s="363">
        <v>230</v>
      </c>
      <c r="C38" s="164" t="s">
        <v>201</v>
      </c>
      <c r="D38" s="115" t="s">
        <v>2056</v>
      </c>
      <c r="E38" s="1849"/>
    </row>
    <row r="39" spans="1:5" ht="31.5">
      <c r="A39" s="1156" t="str">
        <f t="shared" si="0"/>
        <v>F-03.00_231</v>
      </c>
      <c r="B39" s="361">
        <v>231</v>
      </c>
      <c r="C39" s="122" t="s">
        <v>2054</v>
      </c>
      <c r="D39" s="115" t="s">
        <v>2055</v>
      </c>
      <c r="E39" s="1849"/>
    </row>
    <row r="40" spans="1:5" ht="21">
      <c r="A40" s="1156" t="str">
        <f t="shared" si="0"/>
        <v>F-03.00_232</v>
      </c>
      <c r="B40" s="361">
        <v>232</v>
      </c>
      <c r="C40" s="1712" t="s">
        <v>359</v>
      </c>
      <c r="D40" s="115" t="s">
        <v>2057</v>
      </c>
      <c r="E40" s="1849"/>
    </row>
    <row r="41" spans="1:5" ht="31.5">
      <c r="A41" s="1156" t="str">
        <f t="shared" si="0"/>
        <v>F-03.00_233</v>
      </c>
      <c r="B41" s="361">
        <v>233</v>
      </c>
      <c r="C41" s="1712" t="s">
        <v>200</v>
      </c>
      <c r="D41" s="115" t="s">
        <v>2058</v>
      </c>
      <c r="E41" s="1849"/>
    </row>
    <row r="42" spans="1:5">
      <c r="A42" s="1156" t="str">
        <f t="shared" si="0"/>
        <v>F-03.00_234</v>
      </c>
      <c r="B42" s="361">
        <v>234</v>
      </c>
      <c r="C42" s="1712" t="s">
        <v>201</v>
      </c>
      <c r="D42" s="115" t="s">
        <v>2056</v>
      </c>
      <c r="E42" s="1849"/>
    </row>
    <row r="43" spans="1:5" ht="21">
      <c r="A43" s="1156" t="str">
        <f t="shared" si="0"/>
        <v>F-03.00_241</v>
      </c>
      <c r="B43" s="361">
        <v>241</v>
      </c>
      <c r="C43" s="8" t="s">
        <v>2059</v>
      </c>
      <c r="D43" s="115" t="s">
        <v>2062</v>
      </c>
      <c r="E43" s="1849"/>
    </row>
    <row r="44" spans="1:5" ht="21">
      <c r="A44" s="1156" t="str">
        <f t="shared" si="0"/>
        <v>F-03.00_251</v>
      </c>
      <c r="B44" s="361">
        <v>251</v>
      </c>
      <c r="C44" s="1712" t="s">
        <v>359</v>
      </c>
      <c r="D44" s="115" t="s">
        <v>2060</v>
      </c>
      <c r="E44" s="1849"/>
    </row>
    <row r="45" spans="1:5" ht="21">
      <c r="A45" s="1156" t="str">
        <f t="shared" si="0"/>
        <v>F-03.00_261</v>
      </c>
      <c r="B45" s="361">
        <v>261</v>
      </c>
      <c r="C45" s="1712" t="s">
        <v>200</v>
      </c>
      <c r="D45" s="115" t="s">
        <v>2061</v>
      </c>
      <c r="E45" s="1849"/>
    </row>
    <row r="46" spans="1:5">
      <c r="A46" s="1156" t="str">
        <f t="shared" si="0"/>
        <v>F-03.00_270</v>
      </c>
      <c r="B46" s="361">
        <v>270</v>
      </c>
      <c r="C46" s="166" t="s">
        <v>201</v>
      </c>
      <c r="D46" s="160" t="s">
        <v>205</v>
      </c>
      <c r="E46" s="1849"/>
    </row>
    <row r="47" spans="1:5">
      <c r="A47" s="1156" t="str">
        <f t="shared" si="0"/>
        <v>F-03.00_280</v>
      </c>
      <c r="B47" s="361">
        <v>280</v>
      </c>
      <c r="C47" s="163" t="s">
        <v>196</v>
      </c>
      <c r="D47" s="115" t="s">
        <v>206</v>
      </c>
      <c r="E47" s="1849"/>
    </row>
    <row r="48" spans="1:5">
      <c r="A48" s="1156" t="str">
        <f t="shared" si="0"/>
        <v>F-03.00_290</v>
      </c>
      <c r="B48" s="363">
        <v>290</v>
      </c>
      <c r="C48" s="164" t="s">
        <v>359</v>
      </c>
      <c r="D48" s="115" t="s">
        <v>206</v>
      </c>
      <c r="E48" s="1849"/>
    </row>
    <row r="49" spans="1:6">
      <c r="A49" s="1156" t="str">
        <f t="shared" si="0"/>
        <v>F-03.00_300</v>
      </c>
      <c r="B49" s="363">
        <v>300</v>
      </c>
      <c r="C49" s="164" t="s">
        <v>200</v>
      </c>
      <c r="D49" s="115" t="s">
        <v>362</v>
      </c>
      <c r="E49" s="1849"/>
    </row>
    <row r="50" spans="1:6">
      <c r="A50" s="1156" t="str">
        <f t="shared" si="0"/>
        <v>F-03.00_310</v>
      </c>
      <c r="B50" s="363">
        <v>310</v>
      </c>
      <c r="C50" s="164" t="s">
        <v>201</v>
      </c>
      <c r="D50" s="115" t="s">
        <v>205</v>
      </c>
      <c r="E50" s="1849"/>
    </row>
    <row r="51" spans="1:6" ht="21">
      <c r="A51" s="1156" t="str">
        <f t="shared" si="0"/>
        <v>F-03.00_320</v>
      </c>
      <c r="B51" s="363">
        <v>320</v>
      </c>
      <c r="C51" s="163" t="s">
        <v>481</v>
      </c>
      <c r="D51" s="115" t="s">
        <v>2076</v>
      </c>
      <c r="E51" s="1849"/>
    </row>
    <row r="52" spans="1:6">
      <c r="A52" s="1156" t="str">
        <f t="shared" si="0"/>
        <v>F-03.00_330</v>
      </c>
      <c r="B52" s="364">
        <v>330</v>
      </c>
      <c r="C52" s="127" t="s">
        <v>363</v>
      </c>
      <c r="D52" s="117" t="s">
        <v>2077</v>
      </c>
      <c r="E52" s="1849"/>
    </row>
    <row r="53" spans="1:6">
      <c r="A53" s="1156" t="str">
        <f t="shared" si="0"/>
        <v>F-03.00_340</v>
      </c>
      <c r="B53" s="376">
        <v>340</v>
      </c>
      <c r="C53" s="125" t="s">
        <v>197</v>
      </c>
      <c r="D53" s="337" t="s">
        <v>515</v>
      </c>
      <c r="E53" s="1849"/>
      <c r="F53" s="1467"/>
    </row>
    <row r="54" spans="1:6">
      <c r="A54" s="1156" t="str">
        <f t="shared" si="0"/>
        <v>F-03.00_350</v>
      </c>
      <c r="B54" s="386">
        <v>350</v>
      </c>
      <c r="C54" s="126" t="s">
        <v>208</v>
      </c>
      <c r="D54" s="89" t="s">
        <v>516</v>
      </c>
      <c r="E54" s="1849"/>
    </row>
    <row r="55" spans="1:6">
      <c r="A55" s="1156" t="str">
        <f t="shared" si="0"/>
        <v>F-03.00_360</v>
      </c>
      <c r="B55" s="378">
        <v>360</v>
      </c>
      <c r="C55" s="127" t="s">
        <v>467</v>
      </c>
      <c r="D55" s="159" t="s">
        <v>517</v>
      </c>
      <c r="E55" s="1851"/>
    </row>
    <row r="56" spans="1:6">
      <c r="A56" s="1097" t="s">
        <v>718</v>
      </c>
      <c r="B56" s="1657"/>
      <c r="C56" s="128"/>
      <c r="D56" s="1977"/>
      <c r="E56" s="1977"/>
    </row>
    <row r="57" spans="1:6">
      <c r="A57" s="1097" t="s">
        <v>718</v>
      </c>
      <c r="B57" s="1658"/>
      <c r="D57" s="1977"/>
      <c r="E57" s="1977"/>
    </row>
    <row r="58" spans="1:6">
      <c r="A58" s="1156" t="s">
        <v>724</v>
      </c>
      <c r="D58" s="124"/>
    </row>
  </sheetData>
  <sheetProtection password="C2F4" sheet="1" objects="1" scenarios="1"/>
  <mergeCells count="2">
    <mergeCell ref="D56:E56"/>
    <mergeCell ref="D57:E57"/>
  </mergeCells>
  <dataValidations count="2">
    <dataValidation type="whole" allowBlank="1" showInputMessage="1" showErrorMessage="1" error="wrong number format or sign" sqref="E34 E44 E38 E12 E21 E25 E29">
      <formula1>0</formula1>
      <formula2>99999999</formula2>
    </dataValidation>
    <dataValidation type="whole" allowBlank="1" showInputMessage="1" showErrorMessage="1" error="wrong number format or sign" sqref="E13:E20 E45:E55 E11 E22:E24 E26:E28 E30:E33 E35:E37 E39:E43">
      <formula1>-99999999</formula1>
      <formula2>99999999</formula2>
    </dataValidation>
  </dataValidations>
  <printOptions horizontalCentered="1" headings="1" gridLines="1"/>
  <pageMargins left="0.23622047244094491" right="0.23622047244094491" top="0.24" bottom="0.3" header="0.17" footer="0.17"/>
  <pageSetup paperSize="9" scale="53" orientation="landscape" cellComments="asDisplayed" r:id="rId1"/>
  <headerFooter scaleWithDoc="0" alignWithMargins="0"/>
  <ignoredErrors>
    <ignoredError sqref="B46:B55 E10 B11:B18 B24:B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Y175"/>
  <sheetViews>
    <sheetView topLeftCell="B6" zoomScaleNormal="100" zoomScaleSheetLayoutView="80" workbookViewId="0">
      <selection activeCell="B6" sqref="B6"/>
    </sheetView>
  </sheetViews>
  <sheetFormatPr defaultColWidth="9.140625" defaultRowHeight="12.75"/>
  <cols>
    <col min="1" max="1" width="13.5703125" style="1156" hidden="1" customWidth="1"/>
    <col min="2" max="2" width="5.7109375" style="30" bestFit="1" customWidth="1"/>
    <col min="3" max="3" width="29.7109375" style="30" customWidth="1"/>
    <col min="4" max="4" width="21.85546875" style="30" customWidth="1"/>
    <col min="5" max="8" width="14.28515625" style="30" customWidth="1"/>
    <col min="9" max="9" width="13.28515625" style="30" customWidth="1"/>
    <col min="10" max="10" width="15.7109375" style="30" customWidth="1"/>
    <col min="11" max="11" width="15.42578125" style="30" customWidth="1"/>
    <col min="12" max="12" width="12.5703125" style="30" customWidth="1"/>
    <col min="13" max="13" width="14.140625" style="30" customWidth="1"/>
    <col min="14" max="14" width="14.5703125" style="30" customWidth="1"/>
    <col min="15" max="24" width="14.85546875" style="30" customWidth="1"/>
    <col min="25" max="25" width="29" style="30" customWidth="1"/>
    <col min="26" max="16384" width="9.140625" style="30"/>
  </cols>
  <sheetData>
    <row r="1" spans="1:15" s="1097" customFormat="1" ht="18" hidden="1" customHeight="1">
      <c r="A1" s="1096" t="s">
        <v>1236</v>
      </c>
      <c r="B1" s="1118">
        <v>2</v>
      </c>
      <c r="C1" s="1118">
        <v>1</v>
      </c>
      <c r="D1" s="1119">
        <v>14</v>
      </c>
      <c r="E1" s="1182">
        <v>5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15" s="1097" customFormat="1" ht="18" hidden="1" customHeight="1">
      <c r="A2" s="1096" t="str">
        <f>Index!$A$2</f>
        <v>V20181222</v>
      </c>
      <c r="B2" s="1098"/>
      <c r="C2" s="1099"/>
      <c r="D2" s="1100"/>
      <c r="E2" s="1100" t="str">
        <f>$A$1&amp;"_"&amp;E14</f>
        <v>F-04.01_010</v>
      </c>
      <c r="F2" s="1"/>
      <c r="G2" s="1100"/>
      <c r="H2" s="1100"/>
      <c r="I2" s="1100"/>
      <c r="J2" s="1100"/>
      <c r="K2" s="1100"/>
      <c r="L2" s="1100"/>
      <c r="M2" s="1100"/>
      <c r="N2" s="1101"/>
    </row>
    <row r="3" spans="1:15" s="1097" customFormat="1" ht="18" hidden="1" customHeight="1">
      <c r="A3" s="1096" t="str">
        <f>"R:A1:P"&amp;ROW(A175)+1</f>
        <v>R:A1:P176</v>
      </c>
      <c r="B3" s="1102"/>
      <c r="C3" s="1103"/>
      <c r="D3" s="1104"/>
      <c r="E3" s="1105"/>
      <c r="F3" s="1"/>
      <c r="G3" s="1107"/>
      <c r="H3" s="1107"/>
      <c r="I3" s="1107"/>
      <c r="J3" s="1107"/>
      <c r="K3" s="1107"/>
    </row>
    <row r="4" spans="1:15" s="1097" customFormat="1" ht="18" hidden="1" customHeight="1">
      <c r="A4" s="1096"/>
      <c r="B4" s="1102"/>
      <c r="C4" s="1103"/>
      <c r="D4" s="1108"/>
      <c r="E4" s="1109"/>
      <c r="F4" s="1"/>
      <c r="G4" s="1111">
        <f>N5</f>
        <v>0</v>
      </c>
      <c r="H4" s="1107"/>
      <c r="I4" s="1107"/>
      <c r="J4" s="1107"/>
      <c r="K4" s="1107"/>
    </row>
    <row r="5" spans="1:15" s="1097" customFormat="1" ht="18" hidden="1" customHeight="1">
      <c r="A5" s="1096"/>
      <c r="B5" s="1102"/>
      <c r="C5" s="1103"/>
      <c r="D5" s="1112"/>
      <c r="E5" s="1113"/>
      <c r="F5" s="1"/>
      <c r="N5" s="1097">
        <f>COUNTIF(G15:I33,"&lt;&gt;0")-COUNTBLANK(G15:I33)+COUNTIF(B34:F34,"&lt;&gt;0")-COUNTBLANK(B34:F34)</f>
        <v>0</v>
      </c>
    </row>
    <row r="6" spans="1:15" s="1116" customFormat="1">
      <c r="A6" s="1100" t="s">
        <v>718</v>
      </c>
      <c r="B6" s="1115"/>
      <c r="F6" s="1"/>
    </row>
    <row r="7" spans="1:15" ht="12.75" customHeight="1">
      <c r="A7" s="1100" t="s">
        <v>718</v>
      </c>
      <c r="B7" s="269" t="s">
        <v>563</v>
      </c>
      <c r="D7" s="1"/>
      <c r="E7" s="1"/>
      <c r="F7" s="1"/>
      <c r="G7" s="1"/>
      <c r="H7" s="1"/>
    </row>
    <row r="8" spans="1:15" ht="12.75" customHeight="1">
      <c r="A8" s="1100" t="s">
        <v>718</v>
      </c>
      <c r="B8" s="1"/>
      <c r="D8" s="1"/>
      <c r="E8" s="1"/>
      <c r="F8" s="1"/>
      <c r="G8" s="1"/>
      <c r="H8" s="1"/>
    </row>
    <row r="9" spans="1:15" ht="12.75" customHeight="1">
      <c r="A9" s="1100" t="s">
        <v>718</v>
      </c>
      <c r="B9" s="60" t="s">
        <v>672</v>
      </c>
      <c r="D9" s="601"/>
      <c r="E9" s="1"/>
      <c r="F9" s="1"/>
      <c r="G9" s="1"/>
      <c r="H9" s="1"/>
    </row>
    <row r="10" spans="1:15" ht="12.75" customHeight="1">
      <c r="A10" s="1100" t="s">
        <v>718</v>
      </c>
      <c r="C10" s="60"/>
      <c r="D10" s="61"/>
      <c r="E10" s="1"/>
      <c r="F10" s="1"/>
      <c r="G10" s="1"/>
      <c r="H10" s="1"/>
    </row>
    <row r="11" spans="1:15">
      <c r="A11" s="1100" t="s">
        <v>718</v>
      </c>
      <c r="B11" s="387"/>
      <c r="C11" s="388"/>
      <c r="D11" s="1989" t="s">
        <v>551</v>
      </c>
      <c r="E11" s="1981" t="s">
        <v>57</v>
      </c>
      <c r="F11" s="1"/>
      <c r="G11" s="1"/>
      <c r="H11" s="1"/>
      <c r="I11" s="1"/>
    </row>
    <row r="12" spans="1:15" ht="12.75" customHeight="1">
      <c r="A12" s="1100" t="s">
        <v>718</v>
      </c>
      <c r="B12" s="389"/>
      <c r="C12" s="390"/>
      <c r="D12" s="1990"/>
      <c r="E12" s="1983"/>
      <c r="F12" s="1"/>
      <c r="G12" s="1"/>
      <c r="H12" s="1"/>
      <c r="I12" s="1"/>
    </row>
    <row r="13" spans="1:15" ht="21">
      <c r="A13" s="1100"/>
      <c r="B13" s="389"/>
      <c r="C13" s="390"/>
      <c r="D13" s="1990"/>
      <c r="E13" s="494" t="s">
        <v>604</v>
      </c>
      <c r="F13" s="1"/>
      <c r="G13" s="1"/>
      <c r="H13" s="1"/>
      <c r="I13" s="1"/>
    </row>
    <row r="14" spans="1:15" ht="12.75" customHeight="1">
      <c r="A14" s="1100" t="s">
        <v>718</v>
      </c>
      <c r="B14" s="393"/>
      <c r="C14" s="394"/>
      <c r="D14" s="1991"/>
      <c r="E14" s="453" t="s">
        <v>292</v>
      </c>
      <c r="F14" s="1"/>
      <c r="G14" s="1"/>
      <c r="H14" s="1"/>
      <c r="I14" s="1"/>
    </row>
    <row r="15" spans="1:15" ht="12.75" customHeight="1">
      <c r="A15" s="1156" t="str">
        <f t="shared" ref="A15:A33" si="0">$A$1&amp;"_"&amp;B15</f>
        <v>F-04.01_005</v>
      </c>
      <c r="B15" s="1713" t="s">
        <v>2007</v>
      </c>
      <c r="C15" s="1714" t="s">
        <v>121</v>
      </c>
      <c r="D15" s="1645"/>
      <c r="E15" s="892"/>
      <c r="F15" s="1"/>
      <c r="G15" s="822"/>
      <c r="H15" s="1476">
        <f>IF('20'!$G$8="N",0,IF($E15='20'!$E20+'20'!$F20,0,"{F 04.01, r005, c010} = +{F 20.01, r060, c010} + {F 20.01, r060, c020}"))</f>
        <v>0</v>
      </c>
      <c r="I15" s="1"/>
    </row>
    <row r="16" spans="1:15" ht="21">
      <c r="A16" s="1156" t="str">
        <f t="shared" si="0"/>
        <v>F-04.01_010</v>
      </c>
      <c r="B16" s="104" t="s">
        <v>292</v>
      </c>
      <c r="C16" s="208" t="s">
        <v>59</v>
      </c>
      <c r="D16" s="209" t="s">
        <v>2009</v>
      </c>
      <c r="E16" s="892"/>
      <c r="F16" s="1"/>
      <c r="G16" s="822">
        <f>IF($E$16&gt;=0,0,"F4.01, c10&gt;=0")</f>
        <v>0</v>
      </c>
      <c r="H16" s="1476">
        <f>IF('20'!$G$8="N",0,IF($E16='20'!$E21+'20'!$F21,0,"{F 04.01, r010, c010} = +{F 20.01, r070, c010} + {F 20.01, r070, c020}"))</f>
        <v>0</v>
      </c>
      <c r="I16" s="1"/>
    </row>
    <row r="17" spans="1:9">
      <c r="A17" s="1156" t="str">
        <f t="shared" si="0"/>
        <v>F-04.01_030</v>
      </c>
      <c r="B17" s="58" t="s">
        <v>294</v>
      </c>
      <c r="C17" s="185" t="s">
        <v>103</v>
      </c>
      <c r="D17" s="82" t="s">
        <v>1709</v>
      </c>
      <c r="E17" s="893"/>
      <c r="F17" s="1"/>
      <c r="G17" s="822">
        <f>IF($E$17&gt;=0,0,"F4.01, c10&gt;=0")</f>
        <v>0</v>
      </c>
      <c r="H17" s="168"/>
      <c r="I17" s="1"/>
    </row>
    <row r="18" spans="1:9" ht="21">
      <c r="A18" s="1156" t="str">
        <f t="shared" si="0"/>
        <v>F-04.01_040</v>
      </c>
      <c r="B18" s="58" t="s">
        <v>295</v>
      </c>
      <c r="C18" s="185" t="s">
        <v>104</v>
      </c>
      <c r="D18" s="82" t="s">
        <v>1710</v>
      </c>
      <c r="E18" s="893"/>
      <c r="F18" s="1"/>
      <c r="G18" s="822">
        <f>IF($E$18&gt;=0,0,"F4.01, c10&gt;=0")</f>
        <v>0</v>
      </c>
      <c r="H18" s="168"/>
      <c r="I18" s="1"/>
    </row>
    <row r="19" spans="1:9" ht="21">
      <c r="A19" s="1156" t="str">
        <f t="shared" si="0"/>
        <v>F-04.01_050</v>
      </c>
      <c r="B19" s="58" t="s">
        <v>296</v>
      </c>
      <c r="C19" s="36" t="s">
        <v>105</v>
      </c>
      <c r="D19" s="82" t="s">
        <v>1711</v>
      </c>
      <c r="E19" s="893"/>
      <c r="F19" s="1"/>
      <c r="G19" s="822">
        <f>IF($E$19&gt;=0,0,"F4.01, c10&gt;=0")</f>
        <v>0</v>
      </c>
      <c r="H19" s="168"/>
      <c r="I19" s="1"/>
    </row>
    <row r="20" spans="1:9" ht="21">
      <c r="A20" s="1156" t="str">
        <f t="shared" si="0"/>
        <v>F-04.01_060</v>
      </c>
      <c r="B20" s="58" t="s">
        <v>297</v>
      </c>
      <c r="C20" s="179" t="s">
        <v>55</v>
      </c>
      <c r="D20" s="14" t="s">
        <v>1712</v>
      </c>
      <c r="E20" s="705">
        <f>SUM($E$21:$E$25)</f>
        <v>0</v>
      </c>
      <c r="F20" s="1"/>
      <c r="G20" s="822">
        <f>IF($E$20&gt;=0,0,"F4.01, c10&gt;=0")</f>
        <v>0</v>
      </c>
      <c r="H20" s="1476">
        <f>IF('20'!$G$8="N",0,IF($E20='20'!$E22+'20'!$F22,0,"{F 04.01, r060, c010} = +{F 20.01, r080, c010} + {F 20.01, r080, c020}"))</f>
        <v>0</v>
      </c>
      <c r="I20" s="1"/>
    </row>
    <row r="21" spans="1:9">
      <c r="A21" s="1156" t="str">
        <f t="shared" si="0"/>
        <v>F-04.01_070</v>
      </c>
      <c r="B21" s="58" t="s">
        <v>298</v>
      </c>
      <c r="C21" s="165" t="s">
        <v>99</v>
      </c>
      <c r="D21" s="82" t="s">
        <v>1713</v>
      </c>
      <c r="E21" s="893"/>
      <c r="F21" s="1"/>
      <c r="G21" s="822">
        <f>IF($E$21&gt;=0,0,"F4.01, c10&gt;=0")</f>
        <v>0</v>
      </c>
      <c r="H21" s="168"/>
      <c r="I21" s="1"/>
    </row>
    <row r="22" spans="1:9">
      <c r="A22" s="1156" t="str">
        <f t="shared" si="0"/>
        <v>F-04.01_080</v>
      </c>
      <c r="B22" s="58" t="s">
        <v>299</v>
      </c>
      <c r="C22" s="165" t="s">
        <v>100</v>
      </c>
      <c r="D22" s="82" t="s">
        <v>1714</v>
      </c>
      <c r="E22" s="893"/>
      <c r="F22" s="1"/>
      <c r="G22" s="822">
        <f>IF($E$22&gt;=0,0,"F4.01, c10&gt;=0")</f>
        <v>0</v>
      </c>
      <c r="H22" s="168"/>
      <c r="I22" s="1"/>
    </row>
    <row r="23" spans="1:9">
      <c r="A23" s="1156" t="str">
        <f t="shared" si="0"/>
        <v>F-04.01_090</v>
      </c>
      <c r="B23" s="58" t="s">
        <v>300</v>
      </c>
      <c r="C23" s="165" t="s">
        <v>101</v>
      </c>
      <c r="D23" s="82" t="s">
        <v>1709</v>
      </c>
      <c r="E23" s="893"/>
      <c r="F23" s="1"/>
      <c r="G23" s="822">
        <f>IF($E$23&gt;=0,0,"F4.01, c10&gt;=0")</f>
        <v>0</v>
      </c>
      <c r="H23" s="168"/>
      <c r="I23" s="1"/>
    </row>
    <row r="24" spans="1:9">
      <c r="A24" s="1156" t="str">
        <f t="shared" si="0"/>
        <v>F-04.01_100</v>
      </c>
      <c r="B24" s="58" t="s">
        <v>301</v>
      </c>
      <c r="C24" s="165" t="s">
        <v>102</v>
      </c>
      <c r="D24" s="82" t="s">
        <v>1710</v>
      </c>
      <c r="E24" s="893"/>
      <c r="F24" s="1"/>
      <c r="G24" s="822">
        <f>IF($E$24&gt;=0,0,"F4.01, c10&gt;=0")</f>
        <v>0</v>
      </c>
      <c r="H24" s="168"/>
      <c r="I24" s="1"/>
    </row>
    <row r="25" spans="1:9">
      <c r="A25" s="1156" t="str">
        <f t="shared" si="0"/>
        <v>F-04.01_110</v>
      </c>
      <c r="B25" s="58" t="s">
        <v>302</v>
      </c>
      <c r="C25" s="42" t="s">
        <v>127</v>
      </c>
      <c r="D25" s="69" t="s">
        <v>1711</v>
      </c>
      <c r="E25" s="893"/>
      <c r="F25" s="1"/>
      <c r="G25" s="822">
        <f>IF($E$25&gt;=0,0,"F4.01, c10&gt;=0")</f>
        <v>0</v>
      </c>
      <c r="H25" s="168"/>
      <c r="I25" s="1"/>
    </row>
    <row r="26" spans="1:9" ht="21">
      <c r="A26" s="1156" t="str">
        <f t="shared" si="0"/>
        <v>F-04.01_120</v>
      </c>
      <c r="B26" s="58" t="s">
        <v>303</v>
      </c>
      <c r="C26" s="210" t="s">
        <v>61</v>
      </c>
      <c r="D26" s="14" t="s">
        <v>1715</v>
      </c>
      <c r="E26" s="705">
        <f>SUM($E$27:$E$32)</f>
        <v>0</v>
      </c>
      <c r="F26" s="1"/>
      <c r="G26" s="822">
        <f>IF($E$26&gt;=0,0,"F4.01, c10&gt;=0")</f>
        <v>0</v>
      </c>
      <c r="H26" s="1476">
        <f>IF('20'!$G$8="N",0,IF($E26='20'!$E23+'20'!$F23,0,"{F 04.01, r120, c010} = +{F 20.01, r090, c010} + {F 20.01, r090, c020}"))</f>
        <v>0</v>
      </c>
      <c r="I26" s="1"/>
    </row>
    <row r="27" spans="1:9">
      <c r="A27" s="1156" t="str">
        <f t="shared" si="0"/>
        <v>F-04.01_130</v>
      </c>
      <c r="B27" s="58" t="s">
        <v>304</v>
      </c>
      <c r="C27" s="165" t="s">
        <v>99</v>
      </c>
      <c r="D27" s="82" t="s">
        <v>1713</v>
      </c>
      <c r="E27" s="893"/>
      <c r="F27" s="1"/>
      <c r="G27" s="822">
        <f>IF($E$27&gt;=0,0,"F4.01, c10&gt;=0")</f>
        <v>0</v>
      </c>
      <c r="H27" s="168"/>
      <c r="I27" s="1"/>
    </row>
    <row r="28" spans="1:9">
      <c r="A28" s="1156" t="str">
        <f t="shared" si="0"/>
        <v>F-04.01_140</v>
      </c>
      <c r="B28" s="58" t="s">
        <v>305</v>
      </c>
      <c r="C28" s="165" t="s">
        <v>100</v>
      </c>
      <c r="D28" s="82" t="s">
        <v>1714</v>
      </c>
      <c r="E28" s="893"/>
      <c r="F28" s="1"/>
      <c r="G28" s="822">
        <f>IF($E$28&gt;=0,0,"F4.01, c10&gt;=0")</f>
        <v>0</v>
      </c>
      <c r="H28" s="168"/>
      <c r="I28" s="1"/>
    </row>
    <row r="29" spans="1:9">
      <c r="A29" s="1156" t="str">
        <f t="shared" si="0"/>
        <v>F-04.01_150</v>
      </c>
      <c r="B29" s="58" t="s">
        <v>306</v>
      </c>
      <c r="C29" s="165" t="s">
        <v>101</v>
      </c>
      <c r="D29" s="82" t="s">
        <v>1709</v>
      </c>
      <c r="E29" s="893"/>
      <c r="F29" s="1"/>
      <c r="G29" s="822">
        <f>IF($E$29&gt;=0,0,"F4.01, c10&gt;=0")</f>
        <v>0</v>
      </c>
      <c r="H29" s="168"/>
      <c r="I29" s="1"/>
    </row>
    <row r="30" spans="1:9">
      <c r="A30" s="1156" t="str">
        <f t="shared" si="0"/>
        <v>F-04.01_160</v>
      </c>
      <c r="B30" s="58">
        <v>160</v>
      </c>
      <c r="C30" s="165" t="s">
        <v>102</v>
      </c>
      <c r="D30" s="82" t="s">
        <v>1710</v>
      </c>
      <c r="E30" s="893"/>
      <c r="F30" s="1"/>
      <c r="G30" s="822">
        <f>IF($E$30&gt;=0,0,"F4.01, c10&gt;=0")</f>
        <v>0</v>
      </c>
      <c r="H30" s="168"/>
      <c r="I30" s="1"/>
    </row>
    <row r="31" spans="1:9">
      <c r="A31" s="1156" t="str">
        <f t="shared" si="0"/>
        <v>F-04.01_170</v>
      </c>
      <c r="B31" s="58">
        <v>170</v>
      </c>
      <c r="C31" s="42" t="s">
        <v>127</v>
      </c>
      <c r="D31" s="82" t="s">
        <v>1711</v>
      </c>
      <c r="E31" s="893"/>
      <c r="F31" s="1"/>
      <c r="G31" s="822">
        <f>IF($E$31&gt;=0,0,"F4.01, c10&gt;=0")</f>
        <v>0</v>
      </c>
      <c r="H31" s="168"/>
      <c r="I31" s="1"/>
    </row>
    <row r="32" spans="1:9">
      <c r="A32" s="1156" t="str">
        <f t="shared" si="0"/>
        <v>F-04.01_180</v>
      </c>
      <c r="B32" s="105">
        <v>180</v>
      </c>
      <c r="C32" s="182" t="s">
        <v>128</v>
      </c>
      <c r="D32" s="211" t="s">
        <v>1717</v>
      </c>
      <c r="E32" s="894"/>
      <c r="F32" s="1"/>
      <c r="G32" s="822">
        <f>IF($E$32&gt;=0,0,"F4.01, c10&gt;=0")</f>
        <v>0</v>
      </c>
      <c r="H32" s="168"/>
      <c r="I32" s="1"/>
    </row>
    <row r="33" spans="1:15" ht="21">
      <c r="A33" s="1156" t="str">
        <f t="shared" si="0"/>
        <v>F-04.01_190</v>
      </c>
      <c r="B33" s="1715">
        <v>190</v>
      </c>
      <c r="C33" s="176" t="s">
        <v>2008</v>
      </c>
      <c r="D33" s="18" t="s">
        <v>1746</v>
      </c>
      <c r="E33" s="894"/>
      <c r="F33" s="1"/>
      <c r="G33" s="822"/>
      <c r="H33" s="1476">
        <f>IF('20'!$G$8="N",0,IF($E33='20'!$E19+'20'!$F19,0,"{F 04.01, r190, c010} = +{F 20.01, r050, c010} + {F 20.01, r050, c020}"))</f>
        <v>0</v>
      </c>
      <c r="I33" s="1"/>
    </row>
    <row r="34" spans="1:15" ht="21" customHeight="1">
      <c r="A34" s="1156" t="s">
        <v>724</v>
      </c>
      <c r="B34" s="24"/>
      <c r="C34" s="24"/>
      <c r="D34" s="24"/>
      <c r="E34" s="827">
        <f>IF($E$16&gt;=SUM($E$17:$E$19),0,"r10&gt;=sum(r30-50)")</f>
        <v>0</v>
      </c>
      <c r="F34" s="1"/>
      <c r="G34" s="1"/>
      <c r="H34" s="1"/>
    </row>
    <row r="35" spans="1:15" s="1097" customFormat="1" ht="18" hidden="1" customHeight="1">
      <c r="A35" s="1096" t="s">
        <v>2251</v>
      </c>
      <c r="B35" s="1118">
        <v>2</v>
      </c>
      <c r="C35" s="1118">
        <v>1</v>
      </c>
      <c r="D35" s="1119">
        <v>12</v>
      </c>
      <c r="E35" s="1182">
        <v>5</v>
      </c>
      <c r="F35" s="1120">
        <v>3</v>
      </c>
      <c r="G35" s="1121">
        <v>4</v>
      </c>
      <c r="H35" s="1122">
        <v>4</v>
      </c>
      <c r="I35" s="1122">
        <v>4</v>
      </c>
      <c r="J35" s="1123">
        <v>4</v>
      </c>
      <c r="K35" s="1123">
        <v>5</v>
      </c>
      <c r="L35" s="1124">
        <v>4</v>
      </c>
      <c r="M35" s="1124">
        <v>6</v>
      </c>
      <c r="N35" s="1125">
        <v>4</v>
      </c>
      <c r="O35" s="1125">
        <v>7</v>
      </c>
    </row>
    <row r="36" spans="1:15" s="1097" customFormat="1" ht="18" hidden="1" customHeight="1">
      <c r="A36" s="1096" t="str">
        <f>Index!$A$2</f>
        <v>V20181222</v>
      </c>
      <c r="B36" s="1098"/>
      <c r="C36" s="1099"/>
      <c r="D36" s="1100"/>
      <c r="E36" s="1100" t="str">
        <f>$A$35&amp;"_"&amp;E45</f>
        <v>F-04.02.1_010</v>
      </c>
      <c r="F36" s="1100" t="str">
        <f>$A$35&amp;"_"&amp;F45</f>
        <v>F-04.02.1_020</v>
      </c>
      <c r="G36" s="1100"/>
      <c r="H36" s="1100"/>
      <c r="I36" s="1100"/>
      <c r="J36" s="1100"/>
      <c r="K36" s="1100"/>
      <c r="L36" s="1100"/>
      <c r="M36" s="1100"/>
      <c r="N36" s="1101"/>
    </row>
    <row r="37" spans="1:15" s="1097" customFormat="1" ht="18" hidden="1" customHeight="1">
      <c r="A37" s="1096" t="str">
        <f>"R:A1:P"&amp;ROW(A207)+1</f>
        <v>R:A1:P208</v>
      </c>
      <c r="B37" s="1102"/>
      <c r="C37" s="1103"/>
      <c r="D37" s="1104"/>
      <c r="E37" s="1105"/>
      <c r="F37" s="1106"/>
      <c r="G37" s="1107"/>
      <c r="H37" s="1107"/>
      <c r="I37" s="1107"/>
      <c r="J37" s="1107"/>
      <c r="K37" s="1107"/>
    </row>
    <row r="38" spans="1:15" s="1097" customFormat="1" ht="18" hidden="1" customHeight="1">
      <c r="A38" s="1096"/>
      <c r="B38" s="1102"/>
      <c r="C38" s="1103"/>
      <c r="D38" s="1108"/>
      <c r="E38" s="1109"/>
      <c r="F38" s="1110"/>
      <c r="G38" s="1111">
        <f>N39</f>
        <v>0</v>
      </c>
      <c r="H38" s="1107"/>
      <c r="I38" s="1107"/>
      <c r="J38" s="1107"/>
      <c r="K38" s="1107"/>
    </row>
    <row r="39" spans="1:15" s="1097" customFormat="1" ht="18" hidden="1" customHeight="1">
      <c r="A39" s="1096"/>
      <c r="B39" s="1102"/>
      <c r="C39" s="1103"/>
      <c r="D39" s="1112"/>
      <c r="E39" s="1113"/>
      <c r="F39" s="1114"/>
      <c r="N39" s="1097">
        <f>COUNTIF(G46:I64,"&lt;&gt;0")-COUNTBLANK(G46:I64)+COUNTIF(B64:F64,"&lt;&gt;0")-COUNTBLANK(B64:F64)</f>
        <v>0</v>
      </c>
    </row>
    <row r="40" spans="1:15" s="1116" customFormat="1">
      <c r="A40" s="1100" t="s">
        <v>718</v>
      </c>
      <c r="B40" s="1115"/>
    </row>
    <row r="41" spans="1:15" s="1116" customFormat="1">
      <c r="A41" s="1100"/>
      <c r="B41" s="1590" t="s">
        <v>2010</v>
      </c>
      <c r="C41" s="1593"/>
      <c r="D41" s="1594"/>
      <c r="E41" s="1594"/>
      <c r="F41" s="622"/>
    </row>
    <row r="42" spans="1:15" s="1116" customFormat="1">
      <c r="A42" s="1100"/>
      <c r="B42" s="1593"/>
      <c r="C42" s="1592"/>
      <c r="D42" s="1594"/>
      <c r="E42" s="1594"/>
      <c r="F42" s="622"/>
    </row>
    <row r="43" spans="1:15" s="1116" customFormat="1" ht="84">
      <c r="A43" s="1100"/>
      <c r="B43" s="1595"/>
      <c r="C43" s="1596"/>
      <c r="D43" s="1995" t="s">
        <v>551</v>
      </c>
      <c r="E43" s="1694" t="s">
        <v>57</v>
      </c>
      <c r="F43" s="1697" t="s">
        <v>2012</v>
      </c>
    </row>
    <row r="44" spans="1:15" s="1116" customFormat="1" ht="21">
      <c r="A44" s="1100"/>
      <c r="B44" s="1597"/>
      <c r="C44" s="1598"/>
      <c r="D44" s="1996"/>
      <c r="E44" s="584" t="s">
        <v>604</v>
      </c>
      <c r="F44" s="392" t="s">
        <v>602</v>
      </c>
    </row>
    <row r="45" spans="1:15" s="1116" customFormat="1">
      <c r="A45" s="1100"/>
      <c r="B45" s="1599"/>
      <c r="C45" s="1600"/>
      <c r="D45" s="1997"/>
      <c r="E45" s="453" t="s">
        <v>292</v>
      </c>
      <c r="F45" s="453" t="s">
        <v>293</v>
      </c>
    </row>
    <row r="46" spans="1:15" s="1116" customFormat="1" ht="21">
      <c r="A46" s="1156" t="str">
        <f>$A$35&amp;"_"&amp;B46</f>
        <v>F-04.02.1_010</v>
      </c>
      <c r="B46" s="360" t="s">
        <v>292</v>
      </c>
      <c r="C46" s="1591" t="s">
        <v>59</v>
      </c>
      <c r="D46" s="15" t="s">
        <v>2009</v>
      </c>
      <c r="E46" s="893"/>
      <c r="F46" s="1601"/>
      <c r="G46" s="822">
        <f>IF($E46&gt;=0,0,"F04.02.01, c10&gt;=0")</f>
        <v>0</v>
      </c>
      <c r="I46" s="1476">
        <f>IF('20'!$G$8="N",0,IF($E46='20'!$E25+'20'!$F25,0,"{F 04.02.1, r010, c010} = +{F 20.01, r097, c010} + {F 20.01, r097, c020}"))</f>
        <v>0</v>
      </c>
    </row>
    <row r="47" spans="1:15" s="1116" customFormat="1">
      <c r="A47" s="1156" t="str">
        <f t="shared" ref="A47:A63" si="1">$A$35&amp;"_"&amp;B47</f>
        <v>F-04.02.1_020</v>
      </c>
      <c r="B47" s="1543" t="s">
        <v>293</v>
      </c>
      <c r="C47" s="36" t="s">
        <v>103</v>
      </c>
      <c r="D47" s="82" t="s">
        <v>1709</v>
      </c>
      <c r="E47" s="893"/>
      <c r="F47" s="1602"/>
      <c r="G47" s="822">
        <f t="shared" ref="G47:G63" si="2">IF($E47&gt;=0,0,"F04.02.01, c10&gt;=0")</f>
        <v>0</v>
      </c>
      <c r="I47" s="1830"/>
    </row>
    <row r="48" spans="1:15" s="1116" customFormat="1" ht="21">
      <c r="A48" s="1156" t="str">
        <f t="shared" si="1"/>
        <v>F-04.02.1_030</v>
      </c>
      <c r="B48" s="361" t="s">
        <v>294</v>
      </c>
      <c r="C48" s="36" t="s">
        <v>104</v>
      </c>
      <c r="D48" s="82" t="s">
        <v>1710</v>
      </c>
      <c r="E48" s="893"/>
      <c r="F48" s="1602"/>
      <c r="G48" s="822">
        <f t="shared" si="2"/>
        <v>0</v>
      </c>
      <c r="I48" s="1830"/>
    </row>
    <row r="49" spans="1:9" s="1116" customFormat="1" ht="21">
      <c r="A49" s="1156" t="str">
        <f t="shared" si="1"/>
        <v>F-04.02.1_040</v>
      </c>
      <c r="B49" s="361" t="s">
        <v>295</v>
      </c>
      <c r="C49" s="36" t="s">
        <v>105</v>
      </c>
      <c r="D49" s="82" t="s">
        <v>1711</v>
      </c>
      <c r="E49" s="893"/>
      <c r="F49" s="1602"/>
      <c r="G49" s="822">
        <f t="shared" si="2"/>
        <v>0</v>
      </c>
      <c r="I49" s="1830"/>
    </row>
    <row r="50" spans="1:9" s="1116" customFormat="1" ht="21">
      <c r="A50" s="1156" t="str">
        <f t="shared" si="1"/>
        <v>F-04.02.1_050</v>
      </c>
      <c r="B50" s="361" t="s">
        <v>296</v>
      </c>
      <c r="C50" s="21" t="s">
        <v>55</v>
      </c>
      <c r="D50" s="14" t="s">
        <v>1712</v>
      </c>
      <c r="E50" s="893"/>
      <c r="F50" s="948"/>
      <c r="G50" s="822">
        <f t="shared" si="2"/>
        <v>0</v>
      </c>
      <c r="H50" s="822">
        <f>IF($F50&lt;=0,0,"F04.02.01, c20&lt;=0")</f>
        <v>0</v>
      </c>
      <c r="I50" s="1476">
        <f>IF('20'!$G$8="N",0,IF($E50='20'!$E26+'20'!$F26,0,"{F 04.02.1, r050, c010} = +{F 20.01, r098, c010} + {F 20.01, r098, c020}"))</f>
        <v>0</v>
      </c>
    </row>
    <row r="51" spans="1:9" s="1116" customFormat="1">
      <c r="A51" s="1156" t="str">
        <f t="shared" si="1"/>
        <v>F-04.02.1_060</v>
      </c>
      <c r="B51" s="361" t="s">
        <v>297</v>
      </c>
      <c r="C51" s="122" t="s">
        <v>99</v>
      </c>
      <c r="D51" s="82" t="s">
        <v>1713</v>
      </c>
      <c r="E51" s="893"/>
      <c r="F51" s="948"/>
      <c r="G51" s="822">
        <f t="shared" si="2"/>
        <v>0</v>
      </c>
      <c r="H51" s="822">
        <f t="shared" ref="H51:H63" si="3">IF($F51&lt;=0,0,"F04.02.01, c20&lt;=0")</f>
        <v>0</v>
      </c>
      <c r="I51" s="1830"/>
    </row>
    <row r="52" spans="1:9" s="1116" customFormat="1">
      <c r="A52" s="1156" t="str">
        <f t="shared" si="1"/>
        <v>F-04.02.1_070</v>
      </c>
      <c r="B52" s="361" t="s">
        <v>298</v>
      </c>
      <c r="C52" s="122" t="s">
        <v>100</v>
      </c>
      <c r="D52" s="82" t="s">
        <v>1714</v>
      </c>
      <c r="E52" s="893"/>
      <c r="F52" s="948"/>
      <c r="G52" s="822">
        <f t="shared" si="2"/>
        <v>0</v>
      </c>
      <c r="H52" s="822">
        <f t="shared" si="3"/>
        <v>0</v>
      </c>
      <c r="I52" s="1830"/>
    </row>
    <row r="53" spans="1:9" s="1116" customFormat="1">
      <c r="A53" s="1156" t="str">
        <f t="shared" si="1"/>
        <v>F-04.02.1_080</v>
      </c>
      <c r="B53" s="361" t="s">
        <v>299</v>
      </c>
      <c r="C53" s="122" t="s">
        <v>101</v>
      </c>
      <c r="D53" s="82" t="s">
        <v>1709</v>
      </c>
      <c r="E53" s="893"/>
      <c r="F53" s="948"/>
      <c r="G53" s="822">
        <f t="shared" si="2"/>
        <v>0</v>
      </c>
      <c r="H53" s="822">
        <f t="shared" si="3"/>
        <v>0</v>
      </c>
      <c r="I53" s="1830"/>
    </row>
    <row r="54" spans="1:9" s="1116" customFormat="1">
      <c r="A54" s="1156" t="str">
        <f t="shared" si="1"/>
        <v>F-04.02.1_090</v>
      </c>
      <c r="B54" s="361" t="s">
        <v>300</v>
      </c>
      <c r="C54" s="122" t="s">
        <v>102</v>
      </c>
      <c r="D54" s="82" t="s">
        <v>1710</v>
      </c>
      <c r="E54" s="893"/>
      <c r="F54" s="948"/>
      <c r="G54" s="822">
        <f t="shared" si="2"/>
        <v>0</v>
      </c>
      <c r="H54" s="822">
        <f t="shared" si="3"/>
        <v>0</v>
      </c>
      <c r="I54" s="1830"/>
    </row>
    <row r="55" spans="1:9" s="1116" customFormat="1">
      <c r="A55" s="1156" t="str">
        <f t="shared" si="1"/>
        <v>F-04.02.1_100</v>
      </c>
      <c r="B55" s="361" t="s">
        <v>301</v>
      </c>
      <c r="C55" s="42" t="s">
        <v>127</v>
      </c>
      <c r="D55" s="69" t="s">
        <v>1711</v>
      </c>
      <c r="E55" s="893"/>
      <c r="F55" s="948"/>
      <c r="G55" s="822">
        <f t="shared" si="2"/>
        <v>0</v>
      </c>
      <c r="H55" s="822">
        <f t="shared" si="3"/>
        <v>0</v>
      </c>
      <c r="I55" s="1830"/>
    </row>
    <row r="56" spans="1:9" s="1116" customFormat="1" ht="21">
      <c r="A56" s="1156" t="str">
        <f t="shared" si="1"/>
        <v>F-04.02.1_110</v>
      </c>
      <c r="B56" s="361" t="s">
        <v>302</v>
      </c>
      <c r="C56" s="1312" t="s">
        <v>61</v>
      </c>
      <c r="D56" s="14" t="s">
        <v>1715</v>
      </c>
      <c r="E56" s="893"/>
      <c r="F56" s="948"/>
      <c r="G56" s="822">
        <f t="shared" si="2"/>
        <v>0</v>
      </c>
      <c r="H56" s="822">
        <f t="shared" si="3"/>
        <v>0</v>
      </c>
      <c r="I56" s="1476">
        <f>IF('20'!$G$8="N",0,IF($E56='20'!$E27+'20'!$F27,0,"{F 04.02.1, r110, c010} = +{F 20.01, r099, c010} + {F 20.01, r099, c020}"))</f>
        <v>0</v>
      </c>
    </row>
    <row r="57" spans="1:9" s="1116" customFormat="1">
      <c r="A57" s="1156" t="str">
        <f t="shared" si="1"/>
        <v>F-04.02.1_120</v>
      </c>
      <c r="B57" s="361" t="s">
        <v>303</v>
      </c>
      <c r="C57" s="122" t="s">
        <v>99</v>
      </c>
      <c r="D57" s="82" t="s">
        <v>1713</v>
      </c>
      <c r="E57" s="893"/>
      <c r="F57" s="948"/>
      <c r="G57" s="822">
        <f t="shared" si="2"/>
        <v>0</v>
      </c>
      <c r="H57" s="822">
        <f t="shared" si="3"/>
        <v>0</v>
      </c>
      <c r="I57" s="1830"/>
    </row>
    <row r="58" spans="1:9" s="1116" customFormat="1">
      <c r="A58" s="1156" t="str">
        <f t="shared" si="1"/>
        <v>F-04.02.1_130</v>
      </c>
      <c r="B58" s="361" t="s">
        <v>304</v>
      </c>
      <c r="C58" s="122" t="s">
        <v>100</v>
      </c>
      <c r="D58" s="82" t="s">
        <v>1714</v>
      </c>
      <c r="E58" s="893"/>
      <c r="F58" s="948"/>
      <c r="G58" s="822">
        <f t="shared" si="2"/>
        <v>0</v>
      </c>
      <c r="H58" s="822">
        <f t="shared" si="3"/>
        <v>0</v>
      </c>
      <c r="I58" s="1830"/>
    </row>
    <row r="59" spans="1:9" s="1116" customFormat="1">
      <c r="A59" s="1156" t="str">
        <f t="shared" si="1"/>
        <v>F-04.02.1_140</v>
      </c>
      <c r="B59" s="361" t="s">
        <v>305</v>
      </c>
      <c r="C59" s="122" t="s">
        <v>101</v>
      </c>
      <c r="D59" s="82" t="s">
        <v>1709</v>
      </c>
      <c r="E59" s="893"/>
      <c r="F59" s="948"/>
      <c r="G59" s="822">
        <f t="shared" si="2"/>
        <v>0</v>
      </c>
      <c r="H59" s="822">
        <f t="shared" si="3"/>
        <v>0</v>
      </c>
      <c r="I59" s="1830"/>
    </row>
    <row r="60" spans="1:9" s="1116" customFormat="1">
      <c r="A60" s="1156" t="str">
        <f t="shared" si="1"/>
        <v>F-04.02.1_150</v>
      </c>
      <c r="B60" s="361" t="s">
        <v>306</v>
      </c>
      <c r="C60" s="122" t="s">
        <v>102</v>
      </c>
      <c r="D60" s="82" t="s">
        <v>1710</v>
      </c>
      <c r="E60" s="893"/>
      <c r="F60" s="948"/>
      <c r="G60" s="822">
        <f t="shared" si="2"/>
        <v>0</v>
      </c>
      <c r="H60" s="822">
        <f t="shared" si="3"/>
        <v>0</v>
      </c>
      <c r="I60" s="1830"/>
    </row>
    <row r="61" spans="1:9" s="1116" customFormat="1">
      <c r="A61" s="1156" t="str">
        <f t="shared" si="1"/>
        <v>F-04.02.1_160</v>
      </c>
      <c r="B61" s="361">
        <v>160</v>
      </c>
      <c r="C61" s="42" t="s">
        <v>127</v>
      </c>
      <c r="D61" s="82" t="s">
        <v>1711</v>
      </c>
      <c r="E61" s="893"/>
      <c r="F61" s="948"/>
      <c r="G61" s="822">
        <f t="shared" si="2"/>
        <v>0</v>
      </c>
      <c r="H61" s="822">
        <f t="shared" si="3"/>
        <v>0</v>
      </c>
      <c r="I61" s="1830"/>
    </row>
    <row r="62" spans="1:9" s="1116" customFormat="1">
      <c r="A62" s="1156" t="str">
        <f t="shared" si="1"/>
        <v>F-04.02.1_170</v>
      </c>
      <c r="B62" s="361">
        <v>170</v>
      </c>
      <c r="C62" s="1352" t="s">
        <v>128</v>
      </c>
      <c r="D62" s="211" t="s">
        <v>1717</v>
      </c>
      <c r="E62" s="1644"/>
      <c r="F62" s="949"/>
      <c r="G62" s="822">
        <f t="shared" si="2"/>
        <v>0</v>
      </c>
      <c r="H62" s="822">
        <f t="shared" si="3"/>
        <v>0</v>
      </c>
      <c r="I62" s="1830"/>
    </row>
    <row r="63" spans="1:9" s="1116" customFormat="1" ht="42">
      <c r="A63" s="1156" t="str">
        <f t="shared" si="1"/>
        <v>F-04.02.1_180</v>
      </c>
      <c r="B63" s="1716">
        <v>180</v>
      </c>
      <c r="C63" s="176" t="s">
        <v>2013</v>
      </c>
      <c r="D63" s="1555" t="s">
        <v>1671</v>
      </c>
      <c r="E63" s="1643"/>
      <c r="F63" s="1177"/>
      <c r="G63" s="822">
        <f t="shared" si="2"/>
        <v>0</v>
      </c>
      <c r="H63" s="822">
        <f t="shared" si="3"/>
        <v>0</v>
      </c>
      <c r="I63" s="1476">
        <f>IF('20'!$G$8="N",0,IF($E63='20'!$E24+'20'!$F24,0,"{F 04.02.1, r180, c010} = +{F 20.01, r096, c010} + {F 20.01, r096, c020}"))</f>
        <v>0</v>
      </c>
    </row>
    <row r="64" spans="1:9" s="1116" customFormat="1">
      <c r="A64" s="1156" t="s">
        <v>724</v>
      </c>
      <c r="B64" s="1115"/>
      <c r="E64" s="827">
        <f>IF($E$46&gt;=SUM($E$47:$E$49),0,"r10&gt;=sum(r20-40)")</f>
        <v>0</v>
      </c>
    </row>
    <row r="65" spans="1:15" s="1097" customFormat="1" ht="18" hidden="1" customHeight="1">
      <c r="A65" s="1096" t="s">
        <v>2252</v>
      </c>
      <c r="B65" s="1118">
        <v>2</v>
      </c>
      <c r="C65" s="1118">
        <v>1</v>
      </c>
      <c r="D65" s="1119">
        <v>12</v>
      </c>
      <c r="E65" s="1182">
        <v>5</v>
      </c>
      <c r="F65" s="1120">
        <v>3</v>
      </c>
      <c r="G65" s="1121">
        <v>4</v>
      </c>
      <c r="H65" s="1122">
        <v>4</v>
      </c>
      <c r="I65" s="1122">
        <v>4</v>
      </c>
      <c r="J65" s="1123">
        <v>4</v>
      </c>
      <c r="K65" s="1123">
        <v>5</v>
      </c>
      <c r="L65" s="1124">
        <v>4</v>
      </c>
      <c r="M65" s="1124">
        <v>6</v>
      </c>
      <c r="N65" s="1125">
        <v>4</v>
      </c>
      <c r="O65" s="1125">
        <v>7</v>
      </c>
    </row>
    <row r="66" spans="1:15" s="1097" customFormat="1" ht="18" hidden="1" customHeight="1">
      <c r="A66" s="1096" t="str">
        <f>Index!$A$2</f>
        <v>V20181222</v>
      </c>
      <c r="B66" s="1098"/>
      <c r="C66" s="1099"/>
      <c r="D66" s="1100"/>
      <c r="E66" s="1100" t="str">
        <f>$A$65&amp;"_"&amp;E75</f>
        <v>F-04.02.2_010</v>
      </c>
      <c r="F66" s="1100" t="str">
        <f>$A$65&amp;"_"&amp;F75</f>
        <v>F-04.02.2_020</v>
      </c>
      <c r="G66" s="1100"/>
      <c r="H66" s="1100"/>
      <c r="I66" s="1100"/>
      <c r="J66" s="1100"/>
      <c r="K66" s="1100"/>
      <c r="L66" s="1100"/>
      <c r="M66" s="1100"/>
      <c r="N66" s="1101"/>
    </row>
    <row r="67" spans="1:15" s="1097" customFormat="1" ht="18" hidden="1" customHeight="1">
      <c r="A67" s="1096" t="str">
        <f>"R:A1:P"&amp;ROW(A237)+1</f>
        <v>R:A1:P238</v>
      </c>
      <c r="B67" s="1102"/>
      <c r="C67" s="1103"/>
      <c r="D67" s="1104"/>
      <c r="E67" s="1105"/>
      <c r="F67" s="1106"/>
      <c r="G67" s="1107"/>
      <c r="H67" s="1107"/>
      <c r="I67" s="1107"/>
      <c r="J67" s="1107"/>
      <c r="K67" s="1107"/>
    </row>
    <row r="68" spans="1:15" s="1097" customFormat="1" ht="18" hidden="1" customHeight="1">
      <c r="A68" s="1096"/>
      <c r="B68" s="1102"/>
      <c r="C68" s="1103"/>
      <c r="D68" s="1108"/>
      <c r="E68" s="1109"/>
      <c r="F68" s="1110"/>
      <c r="G68" s="1111">
        <f>N69</f>
        <v>0</v>
      </c>
      <c r="H68" s="1107"/>
      <c r="I68" s="1107"/>
      <c r="J68" s="1107"/>
      <c r="K68" s="1107"/>
    </row>
    <row r="69" spans="1:15" s="1097" customFormat="1" ht="18" hidden="1" customHeight="1">
      <c r="A69" s="1096"/>
      <c r="B69" s="1102"/>
      <c r="C69" s="1103"/>
      <c r="D69" s="1112"/>
      <c r="E69" s="1113"/>
      <c r="F69" s="1114"/>
      <c r="N69" s="1097">
        <f>COUNTIF(G76:I90,"&lt;&gt;0")-COUNTBLANK(G76:I90)+COUNTIF(B90:F90,"&lt;&gt;0")-COUNTBLANK(B90:F90)</f>
        <v>0</v>
      </c>
    </row>
    <row r="70" spans="1:15">
      <c r="A70" s="1100"/>
      <c r="B70" s="24"/>
      <c r="C70" s="24"/>
      <c r="D70" s="24"/>
      <c r="E70" s="24"/>
      <c r="F70" s="24"/>
      <c r="G70" s="24"/>
      <c r="H70" s="1"/>
      <c r="I70" s="1"/>
    </row>
    <row r="71" spans="1:15" ht="12.75" customHeight="1">
      <c r="A71" s="1100" t="s">
        <v>718</v>
      </c>
      <c r="B71" s="60" t="s">
        <v>2011</v>
      </c>
      <c r="F71" s="1"/>
      <c r="G71" s="1"/>
      <c r="H71" s="1"/>
    </row>
    <row r="72" spans="1:15" ht="12.75" customHeight="1">
      <c r="A72" s="1100" t="s">
        <v>718</v>
      </c>
      <c r="F72" s="1"/>
      <c r="G72" s="1"/>
      <c r="H72" s="1"/>
    </row>
    <row r="73" spans="1:15" ht="84">
      <c r="A73" s="1100" t="s">
        <v>718</v>
      </c>
      <c r="B73" s="387"/>
      <c r="C73" s="388"/>
      <c r="D73" s="1992" t="s">
        <v>551</v>
      </c>
      <c r="E73" s="1479" t="s">
        <v>57</v>
      </c>
      <c r="F73" s="397" t="s">
        <v>1727</v>
      </c>
      <c r="G73" s="864"/>
      <c r="H73" s="1"/>
      <c r="I73" s="1"/>
    </row>
    <row r="74" spans="1:15" ht="21">
      <c r="A74" s="1100" t="s">
        <v>718</v>
      </c>
      <c r="B74" s="389"/>
      <c r="C74" s="390"/>
      <c r="D74" s="1993"/>
      <c r="E74" s="584" t="s">
        <v>604</v>
      </c>
      <c r="F74" s="392" t="s">
        <v>602</v>
      </c>
      <c r="G74" s="864"/>
      <c r="H74" s="1"/>
      <c r="I74" s="1"/>
    </row>
    <row r="75" spans="1:15" ht="12.75" customHeight="1">
      <c r="A75" s="1100" t="s">
        <v>718</v>
      </c>
      <c r="B75" s="393"/>
      <c r="C75" s="394"/>
      <c r="D75" s="1994"/>
      <c r="E75" s="453" t="s">
        <v>292</v>
      </c>
      <c r="F75" s="453" t="s">
        <v>293</v>
      </c>
      <c r="G75" s="864"/>
      <c r="H75" s="1"/>
      <c r="I75" s="1"/>
    </row>
    <row r="76" spans="1:15" ht="21">
      <c r="A76" s="1156" t="str">
        <f t="shared" ref="A76:A89" si="4">$A$65&amp;"_"&amp;B76</f>
        <v>F-04.02.2_060</v>
      </c>
      <c r="B76" s="361" t="s">
        <v>297</v>
      </c>
      <c r="C76" s="7" t="s">
        <v>55</v>
      </c>
      <c r="D76" s="14" t="s">
        <v>1712</v>
      </c>
      <c r="E76" s="707">
        <f>SUM($E$77:$E$81)</f>
        <v>0</v>
      </c>
      <c r="F76" s="707">
        <f>SUM($F$77:$F$81)</f>
        <v>0</v>
      </c>
      <c r="G76" s="852">
        <f>IF($E76&gt;=0,0,"F4.2.2&gt;=0, c10")</f>
        <v>0</v>
      </c>
      <c r="H76" s="993">
        <f>IF($F76&lt;=0,0,"F4.2.2&lt;=0, c20")</f>
        <v>0</v>
      </c>
      <c r="I76" s="1476">
        <f>IF('20'!$G$8="N",0,IF($E76='20'!$E29+'20'!$F29,0,"{F 04.02.2, r120, c010} = +{F 20.01, r130, c010} + {F 20.01, r130, c020}"))</f>
        <v>0</v>
      </c>
      <c r="J76" s="867"/>
    </row>
    <row r="77" spans="1:15">
      <c r="A77" s="1156" t="str">
        <f t="shared" si="4"/>
        <v>F-04.02.2_070</v>
      </c>
      <c r="B77" s="361" t="s">
        <v>298</v>
      </c>
      <c r="C77" s="165" t="s">
        <v>99</v>
      </c>
      <c r="D77" s="82" t="s">
        <v>1713</v>
      </c>
      <c r="E77" s="890"/>
      <c r="F77" s="948"/>
      <c r="G77" s="993">
        <f t="shared" ref="G77:G89" si="5">IF($E77&gt;=0,0,"F4.2.2&gt;=0, c10")</f>
        <v>0</v>
      </c>
      <c r="H77" s="993">
        <f t="shared" ref="H77:H89" si="6">IF($F77&lt;=0,0,"F4.2.2&lt;=0, c20")</f>
        <v>0</v>
      </c>
      <c r="I77" s="1831"/>
      <c r="J77" s="867"/>
    </row>
    <row r="78" spans="1:15">
      <c r="A78" s="1156" t="str">
        <f t="shared" si="4"/>
        <v>F-04.02.2_080</v>
      </c>
      <c r="B78" s="361" t="s">
        <v>299</v>
      </c>
      <c r="C78" s="165" t="s">
        <v>100</v>
      </c>
      <c r="D78" s="82" t="s">
        <v>1714</v>
      </c>
      <c r="E78" s="890"/>
      <c r="F78" s="948"/>
      <c r="G78" s="993">
        <f t="shared" si="5"/>
        <v>0</v>
      </c>
      <c r="H78" s="993">
        <f t="shared" si="6"/>
        <v>0</v>
      </c>
      <c r="I78" s="1831"/>
      <c r="J78" s="867"/>
    </row>
    <row r="79" spans="1:15">
      <c r="A79" s="1156" t="str">
        <f t="shared" si="4"/>
        <v>F-04.02.2_090</v>
      </c>
      <c r="B79" s="361" t="s">
        <v>300</v>
      </c>
      <c r="C79" s="165" t="s">
        <v>101</v>
      </c>
      <c r="D79" s="82" t="s">
        <v>1709</v>
      </c>
      <c r="E79" s="890"/>
      <c r="F79" s="948"/>
      <c r="G79" s="993">
        <f t="shared" si="5"/>
        <v>0</v>
      </c>
      <c r="H79" s="993">
        <f t="shared" si="6"/>
        <v>0</v>
      </c>
      <c r="I79" s="1831"/>
      <c r="J79" s="867"/>
    </row>
    <row r="80" spans="1:15">
      <c r="A80" s="1156" t="str">
        <f t="shared" si="4"/>
        <v>F-04.02.2_100</v>
      </c>
      <c r="B80" s="361" t="s">
        <v>301</v>
      </c>
      <c r="C80" s="165" t="s">
        <v>102</v>
      </c>
      <c r="D80" s="82" t="s">
        <v>1710</v>
      </c>
      <c r="E80" s="890"/>
      <c r="F80" s="948"/>
      <c r="G80" s="993">
        <f t="shared" si="5"/>
        <v>0</v>
      </c>
      <c r="H80" s="993">
        <f t="shared" si="6"/>
        <v>0</v>
      </c>
      <c r="I80" s="1831"/>
      <c r="J80" s="867"/>
    </row>
    <row r="81" spans="1:15">
      <c r="A81" s="1156" t="str">
        <f t="shared" si="4"/>
        <v>F-04.02.2_110</v>
      </c>
      <c r="B81" s="361" t="s">
        <v>302</v>
      </c>
      <c r="C81" s="42" t="s">
        <v>127</v>
      </c>
      <c r="D81" s="69" t="s">
        <v>1711</v>
      </c>
      <c r="E81" s="890"/>
      <c r="F81" s="948"/>
      <c r="G81" s="993">
        <f t="shared" si="5"/>
        <v>0</v>
      </c>
      <c r="H81" s="993">
        <f t="shared" si="6"/>
        <v>0</v>
      </c>
      <c r="I81" s="1831"/>
      <c r="J81" s="867"/>
    </row>
    <row r="82" spans="1:15" ht="21">
      <c r="A82" s="1156" t="str">
        <f t="shared" si="4"/>
        <v>F-04.02.2_120</v>
      </c>
      <c r="B82" s="361" t="s">
        <v>303</v>
      </c>
      <c r="C82" s="210" t="s">
        <v>61</v>
      </c>
      <c r="D82" s="14" t="s">
        <v>1715</v>
      </c>
      <c r="E82" s="707">
        <f>SUM($E$83:$E$88)</f>
        <v>0</v>
      </c>
      <c r="F82" s="707">
        <f>SUM($F$83:$F$88)</f>
        <v>0</v>
      </c>
      <c r="G82" s="993">
        <f t="shared" si="5"/>
        <v>0</v>
      </c>
      <c r="H82" s="993">
        <f t="shared" si="6"/>
        <v>0</v>
      </c>
      <c r="I82" s="1476">
        <f>IF('20'!$G$8="N",0,IF($E82='20'!$E30+'20'!$F30,0,"{F 04.02.2, r120, c010} = +{F 20.01, r130, c010} + {F 20.01, r130, c020}"))</f>
        <v>0</v>
      </c>
      <c r="J82" s="867"/>
    </row>
    <row r="83" spans="1:15">
      <c r="A83" s="1156" t="str">
        <f t="shared" si="4"/>
        <v>F-04.02.2_130</v>
      </c>
      <c r="B83" s="361" t="s">
        <v>304</v>
      </c>
      <c r="C83" s="165" t="s">
        <v>99</v>
      </c>
      <c r="D83" s="82" t="s">
        <v>1713</v>
      </c>
      <c r="E83" s="890"/>
      <c r="F83" s="948"/>
      <c r="G83" s="993">
        <f t="shared" si="5"/>
        <v>0</v>
      </c>
      <c r="H83" s="993">
        <f t="shared" si="6"/>
        <v>0</v>
      </c>
      <c r="I83" s="1831"/>
      <c r="J83" s="867"/>
    </row>
    <row r="84" spans="1:15">
      <c r="A84" s="1156" t="str">
        <f t="shared" si="4"/>
        <v>F-04.02.2_140</v>
      </c>
      <c r="B84" s="361" t="s">
        <v>305</v>
      </c>
      <c r="C84" s="165" t="s">
        <v>100</v>
      </c>
      <c r="D84" s="82" t="s">
        <v>1714</v>
      </c>
      <c r="E84" s="890"/>
      <c r="F84" s="948"/>
      <c r="G84" s="993">
        <f t="shared" si="5"/>
        <v>0</v>
      </c>
      <c r="H84" s="993">
        <f t="shared" si="6"/>
        <v>0</v>
      </c>
      <c r="I84" s="1831"/>
      <c r="J84" s="867"/>
    </row>
    <row r="85" spans="1:15">
      <c r="A85" s="1156" t="str">
        <f t="shared" si="4"/>
        <v>F-04.02.2_150</v>
      </c>
      <c r="B85" s="361" t="s">
        <v>306</v>
      </c>
      <c r="C85" s="165" t="s">
        <v>101</v>
      </c>
      <c r="D85" s="82" t="s">
        <v>1709</v>
      </c>
      <c r="E85" s="890"/>
      <c r="F85" s="948"/>
      <c r="G85" s="993">
        <f t="shared" si="5"/>
        <v>0</v>
      </c>
      <c r="H85" s="993">
        <f t="shared" si="6"/>
        <v>0</v>
      </c>
      <c r="I85" s="1831"/>
      <c r="J85" s="867"/>
    </row>
    <row r="86" spans="1:15">
      <c r="A86" s="1156" t="str">
        <f t="shared" si="4"/>
        <v>F-04.02.2_160</v>
      </c>
      <c r="B86" s="361">
        <v>160</v>
      </c>
      <c r="C86" s="165" t="s">
        <v>102</v>
      </c>
      <c r="D86" s="82" t="s">
        <v>1710</v>
      </c>
      <c r="E86" s="890"/>
      <c r="F86" s="948"/>
      <c r="G86" s="993">
        <f t="shared" si="5"/>
        <v>0</v>
      </c>
      <c r="H86" s="993">
        <f t="shared" si="6"/>
        <v>0</v>
      </c>
      <c r="I86" s="1831"/>
      <c r="J86" s="867"/>
    </row>
    <row r="87" spans="1:15">
      <c r="A87" s="1156" t="str">
        <f t="shared" si="4"/>
        <v>F-04.02.2_170</v>
      </c>
      <c r="B87" s="361">
        <v>170</v>
      </c>
      <c r="C87" s="165" t="s">
        <v>127</v>
      </c>
      <c r="D87" s="82" t="s">
        <v>1711</v>
      </c>
      <c r="E87" s="890"/>
      <c r="F87" s="948"/>
      <c r="G87" s="993">
        <f t="shared" si="5"/>
        <v>0</v>
      </c>
      <c r="H87" s="993">
        <f t="shared" si="6"/>
        <v>0</v>
      </c>
      <c r="I87" s="1831"/>
      <c r="J87" s="867"/>
    </row>
    <row r="88" spans="1:15">
      <c r="A88" s="1156" t="str">
        <f t="shared" si="4"/>
        <v>F-04.02.2_180</v>
      </c>
      <c r="B88" s="362">
        <v>180</v>
      </c>
      <c r="C88" s="182" t="s">
        <v>128</v>
      </c>
      <c r="D88" s="211" t="s">
        <v>1717</v>
      </c>
      <c r="E88" s="1173"/>
      <c r="F88" s="948"/>
      <c r="G88" s="993">
        <f t="shared" si="5"/>
        <v>0</v>
      </c>
      <c r="H88" s="993">
        <f t="shared" si="6"/>
        <v>0</v>
      </c>
      <c r="I88" s="1831"/>
      <c r="J88" s="867"/>
    </row>
    <row r="89" spans="1:15" ht="31.5">
      <c r="A89" s="1156" t="str">
        <f t="shared" si="4"/>
        <v>F-04.02.2_190</v>
      </c>
      <c r="B89" s="375">
        <v>190</v>
      </c>
      <c r="C89" s="176" t="s">
        <v>468</v>
      </c>
      <c r="D89" s="349" t="s">
        <v>1580</v>
      </c>
      <c r="E89" s="862">
        <f>SUM($E$76,$E$82)</f>
        <v>0</v>
      </c>
      <c r="F89" s="862">
        <f>SUM($F$76,$F$82)</f>
        <v>0</v>
      </c>
      <c r="G89" s="993">
        <f t="shared" si="5"/>
        <v>0</v>
      </c>
      <c r="H89" s="993">
        <f t="shared" si="6"/>
        <v>0</v>
      </c>
      <c r="I89" s="1476">
        <f>IF('20'!$G$8="N",0,IF($E89='20'!$E28+'20'!$F28,0,"{F 04.02.2, r190, c010} = +{F 20.01, r100, c010} + {F 20.01, r100, c020}"))</f>
        <v>0</v>
      </c>
      <c r="J89" s="867"/>
    </row>
    <row r="90" spans="1:15" ht="20.25" customHeight="1">
      <c r="A90" s="1156" t="s">
        <v>724</v>
      </c>
      <c r="C90" s="1"/>
      <c r="D90" s="1"/>
      <c r="E90" s="1648"/>
      <c r="F90" s="866"/>
      <c r="G90" s="866"/>
      <c r="H90" s="866"/>
      <c r="I90" s="867"/>
      <c r="J90" s="867"/>
    </row>
    <row r="91" spans="1:15" s="1097" customFormat="1" ht="18" hidden="1" customHeight="1">
      <c r="A91" s="1096" t="s">
        <v>2253</v>
      </c>
      <c r="B91" s="1118">
        <v>2</v>
      </c>
      <c r="C91" s="1118">
        <v>1</v>
      </c>
      <c r="D91" s="1119">
        <v>14</v>
      </c>
      <c r="E91" s="1182">
        <v>5</v>
      </c>
      <c r="F91" s="1120">
        <v>3</v>
      </c>
      <c r="G91" s="1121">
        <v>4</v>
      </c>
      <c r="H91" s="1122">
        <v>4</v>
      </c>
      <c r="I91" s="1122">
        <v>4</v>
      </c>
      <c r="J91" s="1123">
        <v>4</v>
      </c>
      <c r="K91" s="1123">
        <v>5</v>
      </c>
      <c r="L91" s="1124">
        <v>4</v>
      </c>
      <c r="M91" s="1124">
        <v>6</v>
      </c>
      <c r="N91" s="1125">
        <v>4</v>
      </c>
      <c r="O91" s="1125">
        <v>7</v>
      </c>
    </row>
    <row r="92" spans="1:15" s="1097" customFormat="1" ht="18" hidden="1" customHeight="1">
      <c r="A92" s="1096" t="str">
        <f>Index!$A$2</f>
        <v>V20181222</v>
      </c>
      <c r="B92" s="1098"/>
      <c r="C92" s="1099"/>
      <c r="D92" s="1100"/>
      <c r="E92" s="1100" t="str">
        <f>$A$91&amp;"_"&amp;E103</f>
        <v>F-04.03.1_010</v>
      </c>
      <c r="F92" s="1100" t="str">
        <f t="shared" ref="F92:N92" si="7">$A$91&amp;"_"&amp;F103</f>
        <v>F-04.03.1_015</v>
      </c>
      <c r="G92" s="1100" t="str">
        <f t="shared" si="7"/>
        <v>F-04.03.1_020</v>
      </c>
      <c r="H92" s="1100" t="str">
        <f t="shared" si="7"/>
        <v>F-04.03.1_030</v>
      </c>
      <c r="I92" s="1100" t="str">
        <f t="shared" si="7"/>
        <v>F-04.03.1_040</v>
      </c>
      <c r="J92" s="1100" t="str">
        <f t="shared" si="7"/>
        <v>F-04.03.1_050</v>
      </c>
      <c r="K92" s="1100" t="str">
        <f t="shared" si="7"/>
        <v>F-04.03.1_060</v>
      </c>
      <c r="L92" s="1100" t="str">
        <f t="shared" si="7"/>
        <v>F-04.03.1_070</v>
      </c>
      <c r="M92" s="1100" t="str">
        <f t="shared" si="7"/>
        <v>F-04.03.1_080</v>
      </c>
      <c r="N92" s="1100" t="str">
        <f t="shared" si="7"/>
        <v>F-04.03.1_090</v>
      </c>
    </row>
    <row r="93" spans="1:15" s="1097" customFormat="1" ht="18" hidden="1" customHeight="1">
      <c r="A93" s="1096" t="str">
        <f>"R:A1:P"&amp;ROW(A268)+1</f>
        <v>R:A1:P269</v>
      </c>
      <c r="B93" s="1102"/>
      <c r="C93" s="1103"/>
      <c r="D93" s="1104"/>
      <c r="E93" s="1105"/>
      <c r="F93" s="1106"/>
      <c r="G93" s="1107"/>
      <c r="H93" s="1107"/>
      <c r="I93" s="1107"/>
      <c r="J93" s="1107"/>
      <c r="K93" s="1107"/>
    </row>
    <row r="94" spans="1:15" s="1097" customFormat="1" ht="18" hidden="1" customHeight="1">
      <c r="A94" s="1096"/>
      <c r="B94" s="1102"/>
      <c r="C94" s="1103"/>
      <c r="D94" s="1108"/>
      <c r="E94" s="1109"/>
      <c r="F94" s="1110"/>
      <c r="G94" s="1111">
        <f>N95</f>
        <v>0</v>
      </c>
      <c r="H94" s="1107"/>
      <c r="I94" s="1107"/>
      <c r="J94" s="1107"/>
      <c r="K94" s="1107"/>
    </row>
    <row r="95" spans="1:15" s="1097" customFormat="1" ht="18" hidden="1" customHeight="1">
      <c r="A95" s="1096"/>
      <c r="B95" s="1102"/>
      <c r="C95" s="1103"/>
      <c r="D95" s="1112"/>
      <c r="E95" s="1113"/>
      <c r="F95" s="1114"/>
      <c r="N95" s="1097">
        <f>COUNTIF(O104:Y124,"&lt;&gt;0")-COUNTBLANK(O104:Y124)+COUNTIF(B123:N124,"&lt;&gt;0")-COUNTBLANK(B123:N124)</f>
        <v>0</v>
      </c>
    </row>
    <row r="96" spans="1:15" s="1116" customFormat="1">
      <c r="A96" s="1100" t="s">
        <v>718</v>
      </c>
      <c r="B96" s="1115"/>
    </row>
    <row r="97" spans="1:25" s="1116" customFormat="1">
      <c r="A97" s="1100" t="s">
        <v>718</v>
      </c>
      <c r="B97" s="1590" t="s">
        <v>2014</v>
      </c>
      <c r="C97" s="1"/>
      <c r="D97" s="1"/>
      <c r="E97" s="1"/>
      <c r="F97" s="1"/>
      <c r="G97" s="1"/>
      <c r="H97" s="1"/>
      <c r="I97" s="30"/>
      <c r="J97" s="30"/>
      <c r="K97" s="30"/>
      <c r="L97" s="30"/>
      <c r="M97" s="30"/>
      <c r="N97" s="30"/>
    </row>
    <row r="98" spans="1:25" s="1116" customFormat="1">
      <c r="A98" s="1100" t="s">
        <v>718</v>
      </c>
      <c r="B98" s="30"/>
      <c r="C98" s="30"/>
      <c r="D98" s="62"/>
      <c r="E98" s="62"/>
      <c r="F98" s="62"/>
      <c r="G98" s="62"/>
      <c r="H98" s="1"/>
      <c r="I98" s="30"/>
      <c r="J98" s="30"/>
      <c r="K98" s="30"/>
      <c r="L98" s="30"/>
      <c r="M98" s="30"/>
      <c r="N98" s="30"/>
    </row>
    <row r="99" spans="1:25" s="1116" customFormat="1" ht="29.25" customHeight="1">
      <c r="A99" s="1100" t="s">
        <v>718</v>
      </c>
      <c r="B99" s="1998"/>
      <c r="C99" s="1999"/>
      <c r="D99" s="1992" t="s">
        <v>551</v>
      </c>
      <c r="E99" s="1981" t="s">
        <v>57</v>
      </c>
      <c r="F99" s="1978" t="s">
        <v>2015</v>
      </c>
      <c r="G99" s="1979"/>
      <c r="H99" s="1979"/>
      <c r="I99" s="1980"/>
      <c r="J99" s="1978" t="s">
        <v>2016</v>
      </c>
      <c r="K99" s="1979"/>
      <c r="L99" s="1980"/>
      <c r="M99" s="1981" t="s">
        <v>2017</v>
      </c>
      <c r="N99" s="1981" t="s">
        <v>2018</v>
      </c>
    </row>
    <row r="100" spans="1:25" s="1116" customFormat="1" ht="47.25" customHeight="1">
      <c r="A100" s="1100" t="s">
        <v>718</v>
      </c>
      <c r="B100" s="2000"/>
      <c r="C100" s="2001"/>
      <c r="D100" s="1993"/>
      <c r="E100" s="1982"/>
      <c r="F100" s="1984" t="s">
        <v>1988</v>
      </c>
      <c r="G100" s="1496"/>
      <c r="H100" s="1981" t="s">
        <v>1989</v>
      </c>
      <c r="I100" s="1986" t="s">
        <v>1990</v>
      </c>
      <c r="J100" s="1981" t="s">
        <v>1988</v>
      </c>
      <c r="K100" s="1981" t="s">
        <v>1989</v>
      </c>
      <c r="L100" s="1981" t="s">
        <v>1990</v>
      </c>
      <c r="M100" s="1982"/>
      <c r="N100" s="1982"/>
    </row>
    <row r="101" spans="1:25" s="1116" customFormat="1" ht="54.75" customHeight="1">
      <c r="A101" s="1100" t="s">
        <v>718</v>
      </c>
      <c r="B101" s="2000"/>
      <c r="C101" s="2001"/>
      <c r="D101" s="1993"/>
      <c r="E101" s="1983"/>
      <c r="F101" s="1985"/>
      <c r="G101" s="613" t="s">
        <v>2019</v>
      </c>
      <c r="H101" s="1983"/>
      <c r="I101" s="1987"/>
      <c r="J101" s="1983"/>
      <c r="K101" s="1983"/>
      <c r="L101" s="1983"/>
      <c r="M101" s="1983"/>
      <c r="N101" s="1983"/>
    </row>
    <row r="102" spans="1:25" s="1116" customFormat="1" ht="63">
      <c r="A102" s="1100" t="s">
        <v>718</v>
      </c>
      <c r="B102" s="2000"/>
      <c r="C102" s="2001"/>
      <c r="D102" s="1993"/>
      <c r="E102" s="584" t="s">
        <v>604</v>
      </c>
      <c r="F102" s="399" t="s">
        <v>2020</v>
      </c>
      <c r="G102" s="399" t="s">
        <v>2021</v>
      </c>
      <c r="H102" s="399" t="s">
        <v>2022</v>
      </c>
      <c r="I102" s="399" t="s">
        <v>2023</v>
      </c>
      <c r="J102" s="399" t="s">
        <v>2024</v>
      </c>
      <c r="K102" s="399" t="s">
        <v>2025</v>
      </c>
      <c r="L102" s="399" t="s">
        <v>2026</v>
      </c>
      <c r="M102" s="399" t="s">
        <v>2027</v>
      </c>
      <c r="N102" s="399" t="s">
        <v>2028</v>
      </c>
    </row>
    <row r="103" spans="1:25" s="1116" customFormat="1">
      <c r="A103" s="1100" t="s">
        <v>718</v>
      </c>
      <c r="B103" s="2002"/>
      <c r="C103" s="2003"/>
      <c r="D103" s="1994"/>
      <c r="E103" s="453" t="s">
        <v>292</v>
      </c>
      <c r="F103" s="453" t="s">
        <v>1571</v>
      </c>
      <c r="G103" s="453" t="s">
        <v>293</v>
      </c>
      <c r="H103" s="453" t="s">
        <v>294</v>
      </c>
      <c r="I103" s="453" t="s">
        <v>295</v>
      </c>
      <c r="J103" s="453" t="s">
        <v>296</v>
      </c>
      <c r="K103" s="453" t="s">
        <v>297</v>
      </c>
      <c r="L103" s="453" t="s">
        <v>298</v>
      </c>
      <c r="M103" s="453" t="s">
        <v>299</v>
      </c>
      <c r="N103" s="453" t="s">
        <v>300</v>
      </c>
    </row>
    <row r="104" spans="1:25" s="1116" customFormat="1" ht="21">
      <c r="A104" s="1156" t="str">
        <f>$A$91&amp;"_"&amp;B104</f>
        <v>F-04.03.1_010</v>
      </c>
      <c r="B104" s="1543" t="s">
        <v>292</v>
      </c>
      <c r="C104" s="1591" t="s">
        <v>59</v>
      </c>
      <c r="D104" s="15" t="s">
        <v>2029</v>
      </c>
      <c r="E104" s="1826"/>
      <c r="F104" s="1603"/>
      <c r="G104" s="1603"/>
      <c r="H104" s="1603"/>
      <c r="I104" s="1603"/>
      <c r="J104" s="1603"/>
      <c r="K104" s="1603"/>
      <c r="L104" s="1603"/>
      <c r="M104" s="1603"/>
      <c r="N104" s="1603"/>
      <c r="O104" s="993">
        <f>IF($E104&gt;=0,0,"F04.03.01&gt;=0, c10")</f>
        <v>0</v>
      </c>
      <c r="Y104" s="1476">
        <f>IF('20'!$G$8="N",0,IF($E104='20'!$E32+'20'!$F32,0,"{F 04.03.1, r010, c010} = +{F 20.01, r142, c010} + {F 20.01, r142, c020}"))</f>
        <v>0</v>
      </c>
    </row>
    <row r="105" spans="1:25" s="1116" customFormat="1">
      <c r="A105" s="1156" t="str">
        <f t="shared" ref="A105:A122" si="8">$A$91&amp;"_"&amp;B105</f>
        <v>F-04.03.1_020</v>
      </c>
      <c r="B105" s="1543" t="s">
        <v>293</v>
      </c>
      <c r="C105" s="36" t="s">
        <v>103</v>
      </c>
      <c r="D105" s="82" t="s">
        <v>1709</v>
      </c>
      <c r="E105" s="890"/>
      <c r="F105" s="1604"/>
      <c r="G105" s="1604"/>
      <c r="H105" s="1604"/>
      <c r="I105" s="1604"/>
      <c r="J105" s="1603"/>
      <c r="K105" s="1603"/>
      <c r="L105" s="1603"/>
      <c r="M105" s="1603"/>
      <c r="N105" s="1603"/>
      <c r="O105" s="993">
        <f t="shared" ref="O105:O122" si="9">IF($E105&gt;=0,0,"F04.03.01&gt;=0, c10")</f>
        <v>0</v>
      </c>
      <c r="Y105" s="1830"/>
    </row>
    <row r="106" spans="1:25" s="1116" customFormat="1" ht="21">
      <c r="A106" s="1156" t="str">
        <f t="shared" si="8"/>
        <v>F-04.03.1_030</v>
      </c>
      <c r="B106" s="1543" t="s">
        <v>294</v>
      </c>
      <c r="C106" s="36" t="s">
        <v>104</v>
      </c>
      <c r="D106" s="82" t="s">
        <v>1710</v>
      </c>
      <c r="E106" s="890"/>
      <c r="F106" s="1604"/>
      <c r="G106" s="1604"/>
      <c r="H106" s="1604"/>
      <c r="I106" s="1604"/>
      <c r="J106" s="1603"/>
      <c r="K106" s="1603"/>
      <c r="L106" s="1603"/>
      <c r="M106" s="1603"/>
      <c r="N106" s="1603"/>
      <c r="O106" s="993">
        <f t="shared" si="9"/>
        <v>0</v>
      </c>
      <c r="Y106" s="1830"/>
    </row>
    <row r="107" spans="1:25" s="1116" customFormat="1" ht="21">
      <c r="A107" s="1156" t="str">
        <f t="shared" si="8"/>
        <v>F-04.03.1_040</v>
      </c>
      <c r="B107" s="1543" t="s">
        <v>295</v>
      </c>
      <c r="C107" s="36" t="s">
        <v>105</v>
      </c>
      <c r="D107" s="82" t="s">
        <v>1711</v>
      </c>
      <c r="E107" s="890"/>
      <c r="F107" s="1604"/>
      <c r="G107" s="1604"/>
      <c r="H107" s="1604"/>
      <c r="I107" s="1604"/>
      <c r="J107" s="1603"/>
      <c r="K107" s="1603"/>
      <c r="L107" s="1603"/>
      <c r="M107" s="1603"/>
      <c r="N107" s="1603"/>
      <c r="O107" s="993">
        <f t="shared" si="9"/>
        <v>0</v>
      </c>
      <c r="Y107" s="1830"/>
    </row>
    <row r="108" spans="1:25" s="1116" customFormat="1" ht="21">
      <c r="A108" s="1156" t="str">
        <f t="shared" si="8"/>
        <v>F-04.03.1_050</v>
      </c>
      <c r="B108" s="1543" t="s">
        <v>296</v>
      </c>
      <c r="C108" s="1506" t="s">
        <v>55</v>
      </c>
      <c r="D108" s="14" t="s">
        <v>1712</v>
      </c>
      <c r="E108" s="707">
        <f t="shared" ref="E108:E113" si="10">SUM(F108,H108:L108)</f>
        <v>0</v>
      </c>
      <c r="F108" s="707">
        <f t="shared" ref="F108:L108" si="11">SUM(F$109:F$113)</f>
        <v>0</v>
      </c>
      <c r="G108" s="707">
        <f t="shared" si="11"/>
        <v>0</v>
      </c>
      <c r="H108" s="707">
        <f t="shared" si="11"/>
        <v>0</v>
      </c>
      <c r="I108" s="707">
        <f t="shared" si="11"/>
        <v>0</v>
      </c>
      <c r="J108" s="707">
        <f t="shared" si="11"/>
        <v>0</v>
      </c>
      <c r="K108" s="707">
        <f t="shared" si="11"/>
        <v>0</v>
      </c>
      <c r="L108" s="707">
        <f t="shared" si="11"/>
        <v>0</v>
      </c>
      <c r="M108" s="707">
        <f t="shared" ref="M108:N108" si="12">SUM(M$109:M$113)</f>
        <v>0</v>
      </c>
      <c r="N108" s="707">
        <f t="shared" si="12"/>
        <v>0</v>
      </c>
      <c r="O108" s="993">
        <f t="shared" si="9"/>
        <v>0</v>
      </c>
      <c r="P108" s="993">
        <f>IF(F108&gt;=0,0,"F04.03.01&gt;=0, c015")</f>
        <v>0</v>
      </c>
      <c r="Q108" s="993">
        <f>IF(G108&gt;=0,0,"F04.03.01&gt;=0, c020")</f>
        <v>0</v>
      </c>
      <c r="R108" s="993">
        <f>IF(H108&gt;=0,0,"F04.03.01&gt;=0, c030")</f>
        <v>0</v>
      </c>
      <c r="S108" s="993">
        <f>IF(I108&gt;=0,0,"F04.03.01&gt;=0, c040")</f>
        <v>0</v>
      </c>
      <c r="T108" s="993">
        <f>IF(J108&lt;=0,0,"F04.03.01&lt;=0, c050")</f>
        <v>0</v>
      </c>
      <c r="U108" s="993">
        <f>IF(K108&lt;=0,0,"F04.03.01&lt;=0, c060")</f>
        <v>0</v>
      </c>
      <c r="V108" s="993">
        <f>IF(L108&lt;=0,0,"F04.03.01&lt;=0, c070")</f>
        <v>0</v>
      </c>
      <c r="W108" s="993">
        <f>IF(M108&lt;=0,0,"F04.03.01&lt;=0, c080")</f>
        <v>0</v>
      </c>
      <c r="X108" s="993">
        <f>IF(N108&lt;=0,0,"F04.03.01&lt;=0, c090")</f>
        <v>0</v>
      </c>
      <c r="Y108" s="1476">
        <f>IF('20'!$G$8="N",0,IF($E108='20'!$E33+'20'!$F33,0,"{F 04.03.1, r050, c010} = +{F 20.01, r143, c010} + {F 20.01, r143, c020}"))</f>
        <v>0</v>
      </c>
    </row>
    <row r="109" spans="1:25" s="1116" customFormat="1">
      <c r="A109" s="1156" t="str">
        <f t="shared" si="8"/>
        <v>F-04.03.1_060</v>
      </c>
      <c r="B109" s="1543" t="s">
        <v>297</v>
      </c>
      <c r="C109" s="122" t="s">
        <v>99</v>
      </c>
      <c r="D109" s="82" t="s">
        <v>1713</v>
      </c>
      <c r="E109" s="707">
        <f t="shared" si="10"/>
        <v>0</v>
      </c>
      <c r="F109" s="890"/>
      <c r="G109" s="890"/>
      <c r="H109" s="890"/>
      <c r="I109" s="890"/>
      <c r="J109" s="948"/>
      <c r="K109" s="948"/>
      <c r="L109" s="948"/>
      <c r="M109" s="948"/>
      <c r="N109" s="948"/>
      <c r="O109" s="993">
        <f t="shared" si="9"/>
        <v>0</v>
      </c>
      <c r="P109" s="993">
        <f t="shared" ref="P109:P122" si="13">IF(F109&gt;=0,0,"F04.03.01&gt;=0, c015")</f>
        <v>0</v>
      </c>
      <c r="Q109" s="993">
        <f t="shared" ref="Q109:Q122" si="14">IF(G109&gt;=0,0,"F04.03.01&gt;=0, c020")</f>
        <v>0</v>
      </c>
      <c r="R109" s="993">
        <f t="shared" ref="R109:R122" si="15">IF(H109&gt;=0,0,"F04.03.01&gt;=0, c030")</f>
        <v>0</v>
      </c>
      <c r="S109" s="993">
        <f t="shared" ref="S109:S122" si="16">IF(I109&gt;=0,0,"F04.03.01&gt;=0, c040")</f>
        <v>0</v>
      </c>
      <c r="T109" s="993">
        <f t="shared" ref="T109:T122" si="17">IF(J109&lt;=0,0,"F04.03.01&lt;=0, c050")</f>
        <v>0</v>
      </c>
      <c r="U109" s="993">
        <f t="shared" ref="U109:U122" si="18">IF(K109&lt;=0,0,"F04.03.01&lt;=0, c060")</f>
        <v>0</v>
      </c>
      <c r="V109" s="993">
        <f t="shared" ref="V109:V122" si="19">IF(L109&lt;=0,0,"F04.03.01&lt;=0, c070")</f>
        <v>0</v>
      </c>
      <c r="W109" s="993">
        <f t="shared" ref="W109:W122" si="20">IF(M109&lt;=0,0,"F04.03.01&lt;=0, c080")</f>
        <v>0</v>
      </c>
      <c r="X109" s="993">
        <f t="shared" ref="X109:X122" si="21">IF(N109&lt;=0,0,"F04.03.01&lt;=0, c090")</f>
        <v>0</v>
      </c>
      <c r="Y109" s="1830"/>
    </row>
    <row r="110" spans="1:25" s="1116" customFormat="1">
      <c r="A110" s="1156" t="str">
        <f t="shared" si="8"/>
        <v>F-04.03.1_070</v>
      </c>
      <c r="B110" s="1543" t="s">
        <v>298</v>
      </c>
      <c r="C110" s="122" t="s">
        <v>100</v>
      </c>
      <c r="D110" s="82" t="s">
        <v>1714</v>
      </c>
      <c r="E110" s="707">
        <f t="shared" si="10"/>
        <v>0</v>
      </c>
      <c r="F110" s="890"/>
      <c r="G110" s="890"/>
      <c r="H110" s="890"/>
      <c r="I110" s="890"/>
      <c r="J110" s="948"/>
      <c r="K110" s="948"/>
      <c r="L110" s="948"/>
      <c r="M110" s="948"/>
      <c r="N110" s="948"/>
      <c r="O110" s="993">
        <f t="shared" si="9"/>
        <v>0</v>
      </c>
      <c r="P110" s="993">
        <f t="shared" si="13"/>
        <v>0</v>
      </c>
      <c r="Q110" s="993">
        <f t="shared" si="14"/>
        <v>0</v>
      </c>
      <c r="R110" s="993">
        <f t="shared" si="15"/>
        <v>0</v>
      </c>
      <c r="S110" s="993">
        <f t="shared" si="16"/>
        <v>0</v>
      </c>
      <c r="T110" s="993">
        <f t="shared" si="17"/>
        <v>0</v>
      </c>
      <c r="U110" s="993">
        <f t="shared" si="18"/>
        <v>0</v>
      </c>
      <c r="V110" s="993">
        <f t="shared" si="19"/>
        <v>0</v>
      </c>
      <c r="W110" s="993">
        <f t="shared" si="20"/>
        <v>0</v>
      </c>
      <c r="X110" s="993">
        <f t="shared" si="21"/>
        <v>0</v>
      </c>
      <c r="Y110" s="1830"/>
    </row>
    <row r="111" spans="1:25" s="1116" customFormat="1">
      <c r="A111" s="1156" t="str">
        <f t="shared" si="8"/>
        <v>F-04.03.1_080</v>
      </c>
      <c r="B111" s="1543" t="s">
        <v>299</v>
      </c>
      <c r="C111" s="122" t="s">
        <v>101</v>
      </c>
      <c r="D111" s="82" t="s">
        <v>1709</v>
      </c>
      <c r="E111" s="707">
        <f t="shared" si="10"/>
        <v>0</v>
      </c>
      <c r="F111" s="890"/>
      <c r="G111" s="890"/>
      <c r="H111" s="890"/>
      <c r="I111" s="890"/>
      <c r="J111" s="948"/>
      <c r="K111" s="948"/>
      <c r="L111" s="948"/>
      <c r="M111" s="948"/>
      <c r="N111" s="948"/>
      <c r="O111" s="993">
        <f t="shared" si="9"/>
        <v>0</v>
      </c>
      <c r="P111" s="993">
        <f t="shared" si="13"/>
        <v>0</v>
      </c>
      <c r="Q111" s="993">
        <f t="shared" si="14"/>
        <v>0</v>
      </c>
      <c r="R111" s="993">
        <f t="shared" si="15"/>
        <v>0</v>
      </c>
      <c r="S111" s="993">
        <f t="shared" si="16"/>
        <v>0</v>
      </c>
      <c r="T111" s="993">
        <f t="shared" si="17"/>
        <v>0</v>
      </c>
      <c r="U111" s="993">
        <f t="shared" si="18"/>
        <v>0</v>
      </c>
      <c r="V111" s="993">
        <f t="shared" si="19"/>
        <v>0</v>
      </c>
      <c r="W111" s="993">
        <f t="shared" si="20"/>
        <v>0</v>
      </c>
      <c r="X111" s="993">
        <f t="shared" si="21"/>
        <v>0</v>
      </c>
      <c r="Y111" s="1830"/>
    </row>
    <row r="112" spans="1:25" s="1116" customFormat="1">
      <c r="A112" s="1156" t="str">
        <f t="shared" si="8"/>
        <v>F-04.03.1_090</v>
      </c>
      <c r="B112" s="1543" t="s">
        <v>300</v>
      </c>
      <c r="C112" s="122" t="s">
        <v>102</v>
      </c>
      <c r="D112" s="82" t="s">
        <v>1710</v>
      </c>
      <c r="E112" s="707">
        <f t="shared" si="10"/>
        <v>0</v>
      </c>
      <c r="F112" s="890"/>
      <c r="G112" s="890"/>
      <c r="H112" s="890"/>
      <c r="I112" s="890"/>
      <c r="J112" s="948"/>
      <c r="K112" s="948"/>
      <c r="L112" s="948"/>
      <c r="M112" s="948"/>
      <c r="N112" s="948"/>
      <c r="O112" s="993">
        <f t="shared" si="9"/>
        <v>0</v>
      </c>
      <c r="P112" s="993">
        <f t="shared" si="13"/>
        <v>0</v>
      </c>
      <c r="Q112" s="993">
        <f t="shared" si="14"/>
        <v>0</v>
      </c>
      <c r="R112" s="993">
        <f t="shared" si="15"/>
        <v>0</v>
      </c>
      <c r="S112" s="993">
        <f t="shared" si="16"/>
        <v>0</v>
      </c>
      <c r="T112" s="993">
        <f t="shared" si="17"/>
        <v>0</v>
      </c>
      <c r="U112" s="993">
        <f t="shared" si="18"/>
        <v>0</v>
      </c>
      <c r="V112" s="993">
        <f t="shared" si="19"/>
        <v>0</v>
      </c>
      <c r="W112" s="993">
        <f t="shared" si="20"/>
        <v>0</v>
      </c>
      <c r="X112" s="993">
        <f t="shared" si="21"/>
        <v>0</v>
      </c>
      <c r="Y112" s="1830"/>
    </row>
    <row r="113" spans="1:25" s="1116" customFormat="1">
      <c r="A113" s="1156" t="str">
        <f t="shared" si="8"/>
        <v>F-04.03.1_100</v>
      </c>
      <c r="B113" s="361">
        <v>100</v>
      </c>
      <c r="C113" s="42" t="s">
        <v>127</v>
      </c>
      <c r="D113" s="69" t="s">
        <v>1711</v>
      </c>
      <c r="E113" s="707">
        <f t="shared" si="10"/>
        <v>0</v>
      </c>
      <c r="F113" s="890"/>
      <c r="G113" s="890"/>
      <c r="H113" s="890"/>
      <c r="I113" s="890"/>
      <c r="J113" s="948"/>
      <c r="K113" s="948"/>
      <c r="L113" s="948"/>
      <c r="M113" s="948"/>
      <c r="N113" s="948"/>
      <c r="O113" s="993">
        <f t="shared" si="9"/>
        <v>0</v>
      </c>
      <c r="P113" s="993">
        <f t="shared" si="13"/>
        <v>0</v>
      </c>
      <c r="Q113" s="993">
        <f t="shared" si="14"/>
        <v>0</v>
      </c>
      <c r="R113" s="993">
        <f t="shared" si="15"/>
        <v>0</v>
      </c>
      <c r="S113" s="993">
        <f t="shared" si="16"/>
        <v>0</v>
      </c>
      <c r="T113" s="993">
        <f t="shared" si="17"/>
        <v>0</v>
      </c>
      <c r="U113" s="993">
        <f t="shared" si="18"/>
        <v>0</v>
      </c>
      <c r="V113" s="993">
        <f t="shared" si="19"/>
        <v>0</v>
      </c>
      <c r="W113" s="993">
        <f t="shared" si="20"/>
        <v>0</v>
      </c>
      <c r="X113" s="993">
        <f t="shared" si="21"/>
        <v>0</v>
      </c>
      <c r="Y113" s="1830"/>
    </row>
    <row r="114" spans="1:25" s="1116" customFormat="1" ht="21">
      <c r="A114" s="1156" t="str">
        <f t="shared" si="8"/>
        <v>F-04.03.1_110</v>
      </c>
      <c r="B114" s="361">
        <v>110</v>
      </c>
      <c r="C114" s="1312" t="s">
        <v>61</v>
      </c>
      <c r="D114" s="14" t="s">
        <v>1715</v>
      </c>
      <c r="E114" s="707">
        <f t="shared" ref="E114:L114" si="22">SUM(E$115:E$120)</f>
        <v>0</v>
      </c>
      <c r="F114" s="707">
        <f t="shared" si="22"/>
        <v>0</v>
      </c>
      <c r="G114" s="707">
        <f t="shared" si="22"/>
        <v>0</v>
      </c>
      <c r="H114" s="707">
        <f t="shared" si="22"/>
        <v>0</v>
      </c>
      <c r="I114" s="707">
        <f t="shared" si="22"/>
        <v>0</v>
      </c>
      <c r="J114" s="707">
        <f t="shared" si="22"/>
        <v>0</v>
      </c>
      <c r="K114" s="707">
        <f t="shared" si="22"/>
        <v>0</v>
      </c>
      <c r="L114" s="707">
        <f t="shared" si="22"/>
        <v>0</v>
      </c>
      <c r="M114" s="707">
        <f t="shared" ref="M114:N114" si="23">SUM(M$115:M$120)</f>
        <v>0</v>
      </c>
      <c r="N114" s="707">
        <f t="shared" si="23"/>
        <v>0</v>
      </c>
      <c r="O114" s="993">
        <f t="shared" si="9"/>
        <v>0</v>
      </c>
      <c r="P114" s="993">
        <f t="shared" si="13"/>
        <v>0</v>
      </c>
      <c r="Q114" s="993">
        <f t="shared" si="14"/>
        <v>0</v>
      </c>
      <c r="R114" s="993">
        <f t="shared" si="15"/>
        <v>0</v>
      </c>
      <c r="S114" s="993">
        <f t="shared" si="16"/>
        <v>0</v>
      </c>
      <c r="T114" s="993">
        <f t="shared" si="17"/>
        <v>0</v>
      </c>
      <c r="U114" s="993">
        <f t="shared" si="18"/>
        <v>0</v>
      </c>
      <c r="V114" s="993">
        <f t="shared" si="19"/>
        <v>0</v>
      </c>
      <c r="W114" s="993">
        <f t="shared" si="20"/>
        <v>0</v>
      </c>
      <c r="X114" s="993">
        <f t="shared" si="21"/>
        <v>0</v>
      </c>
      <c r="Y114" s="1476">
        <f>IF('20'!$G$8="N",0,IF($E114='20'!$E34+'20'!$F34,0,"{F 04.03.1, r110, c010} = +{F 20.01, r144, c010} + {F 20.01, r144, c020}"))</f>
        <v>0</v>
      </c>
    </row>
    <row r="115" spans="1:25" s="1116" customFormat="1">
      <c r="A115" s="1156" t="str">
        <f t="shared" si="8"/>
        <v>F-04.03.1_120</v>
      </c>
      <c r="B115" s="361">
        <v>120</v>
      </c>
      <c r="C115" s="122" t="s">
        <v>99</v>
      </c>
      <c r="D115" s="82" t="s">
        <v>1713</v>
      </c>
      <c r="E115" s="707">
        <f t="shared" ref="E115:E120" si="24">SUM(F115,H115:L115)</f>
        <v>0</v>
      </c>
      <c r="F115" s="890"/>
      <c r="G115" s="890"/>
      <c r="H115" s="890"/>
      <c r="I115" s="890"/>
      <c r="J115" s="948"/>
      <c r="K115" s="948"/>
      <c r="L115" s="948"/>
      <c r="M115" s="948"/>
      <c r="N115" s="948"/>
      <c r="O115" s="993">
        <f t="shared" si="9"/>
        <v>0</v>
      </c>
      <c r="P115" s="993">
        <f t="shared" si="13"/>
        <v>0</v>
      </c>
      <c r="Q115" s="993">
        <f t="shared" si="14"/>
        <v>0</v>
      </c>
      <c r="R115" s="993">
        <f t="shared" si="15"/>
        <v>0</v>
      </c>
      <c r="S115" s="993">
        <f t="shared" si="16"/>
        <v>0</v>
      </c>
      <c r="T115" s="993">
        <f t="shared" si="17"/>
        <v>0</v>
      </c>
      <c r="U115" s="993">
        <f t="shared" si="18"/>
        <v>0</v>
      </c>
      <c r="V115" s="993">
        <f t="shared" si="19"/>
        <v>0</v>
      </c>
      <c r="W115" s="993">
        <f t="shared" si="20"/>
        <v>0</v>
      </c>
      <c r="X115" s="993">
        <f t="shared" si="21"/>
        <v>0</v>
      </c>
      <c r="Y115" s="1830"/>
    </row>
    <row r="116" spans="1:25" s="1116" customFormat="1">
      <c r="A116" s="1156" t="str">
        <f t="shared" si="8"/>
        <v>F-04.03.1_130</v>
      </c>
      <c r="B116" s="361">
        <v>130</v>
      </c>
      <c r="C116" s="122" t="s">
        <v>100</v>
      </c>
      <c r="D116" s="82" t="s">
        <v>1714</v>
      </c>
      <c r="E116" s="707">
        <f t="shared" si="24"/>
        <v>0</v>
      </c>
      <c r="F116" s="890"/>
      <c r="G116" s="890"/>
      <c r="H116" s="890"/>
      <c r="I116" s="890"/>
      <c r="J116" s="948"/>
      <c r="K116" s="948"/>
      <c r="L116" s="948"/>
      <c r="M116" s="948"/>
      <c r="N116" s="948"/>
      <c r="O116" s="993">
        <f t="shared" si="9"/>
        <v>0</v>
      </c>
      <c r="P116" s="993">
        <f t="shared" si="13"/>
        <v>0</v>
      </c>
      <c r="Q116" s="993">
        <f t="shared" si="14"/>
        <v>0</v>
      </c>
      <c r="R116" s="993">
        <f t="shared" si="15"/>
        <v>0</v>
      </c>
      <c r="S116" s="993">
        <f t="shared" si="16"/>
        <v>0</v>
      </c>
      <c r="T116" s="993">
        <f t="shared" si="17"/>
        <v>0</v>
      </c>
      <c r="U116" s="993">
        <f t="shared" si="18"/>
        <v>0</v>
      </c>
      <c r="V116" s="993">
        <f t="shared" si="19"/>
        <v>0</v>
      </c>
      <c r="W116" s="993">
        <f t="shared" si="20"/>
        <v>0</v>
      </c>
      <c r="X116" s="993">
        <f t="shared" si="21"/>
        <v>0</v>
      </c>
      <c r="Y116" s="1830"/>
    </row>
    <row r="117" spans="1:25" s="1116" customFormat="1">
      <c r="A117" s="1156" t="str">
        <f t="shared" si="8"/>
        <v>F-04.03.1_140</v>
      </c>
      <c r="B117" s="361">
        <v>140</v>
      </c>
      <c r="C117" s="122" t="s">
        <v>101</v>
      </c>
      <c r="D117" s="82" t="s">
        <v>1709</v>
      </c>
      <c r="E117" s="707">
        <f t="shared" si="24"/>
        <v>0</v>
      </c>
      <c r="F117" s="890"/>
      <c r="G117" s="890"/>
      <c r="H117" s="890"/>
      <c r="I117" s="890"/>
      <c r="J117" s="948"/>
      <c r="K117" s="948"/>
      <c r="L117" s="948"/>
      <c r="M117" s="948"/>
      <c r="N117" s="948"/>
      <c r="O117" s="993">
        <f t="shared" si="9"/>
        <v>0</v>
      </c>
      <c r="P117" s="993">
        <f t="shared" si="13"/>
        <v>0</v>
      </c>
      <c r="Q117" s="993">
        <f t="shared" si="14"/>
        <v>0</v>
      </c>
      <c r="R117" s="993">
        <f t="shared" si="15"/>
        <v>0</v>
      </c>
      <c r="S117" s="993">
        <f t="shared" si="16"/>
        <v>0</v>
      </c>
      <c r="T117" s="993">
        <f t="shared" si="17"/>
        <v>0</v>
      </c>
      <c r="U117" s="993">
        <f t="shared" si="18"/>
        <v>0</v>
      </c>
      <c r="V117" s="993">
        <f t="shared" si="19"/>
        <v>0</v>
      </c>
      <c r="W117" s="993">
        <f t="shared" si="20"/>
        <v>0</v>
      </c>
      <c r="X117" s="993">
        <f t="shared" si="21"/>
        <v>0</v>
      </c>
      <c r="Y117" s="1830"/>
    </row>
    <row r="118" spans="1:25" s="1116" customFormat="1">
      <c r="A118" s="1156" t="str">
        <f t="shared" si="8"/>
        <v>F-04.03.1_150</v>
      </c>
      <c r="B118" s="361">
        <v>150</v>
      </c>
      <c r="C118" s="122" t="s">
        <v>102</v>
      </c>
      <c r="D118" s="82" t="s">
        <v>1710</v>
      </c>
      <c r="E118" s="707">
        <f t="shared" si="24"/>
        <v>0</v>
      </c>
      <c r="F118" s="890"/>
      <c r="G118" s="890"/>
      <c r="H118" s="890"/>
      <c r="I118" s="890"/>
      <c r="J118" s="948"/>
      <c r="K118" s="948"/>
      <c r="L118" s="948"/>
      <c r="M118" s="948"/>
      <c r="N118" s="948"/>
      <c r="O118" s="993">
        <f t="shared" si="9"/>
        <v>0</v>
      </c>
      <c r="P118" s="993">
        <f t="shared" si="13"/>
        <v>0</v>
      </c>
      <c r="Q118" s="993">
        <f t="shared" si="14"/>
        <v>0</v>
      </c>
      <c r="R118" s="993">
        <f t="shared" si="15"/>
        <v>0</v>
      </c>
      <c r="S118" s="993">
        <f t="shared" si="16"/>
        <v>0</v>
      </c>
      <c r="T118" s="993">
        <f t="shared" si="17"/>
        <v>0</v>
      </c>
      <c r="U118" s="993">
        <f t="shared" si="18"/>
        <v>0</v>
      </c>
      <c r="V118" s="993">
        <f t="shared" si="19"/>
        <v>0</v>
      </c>
      <c r="W118" s="993">
        <f t="shared" si="20"/>
        <v>0</v>
      </c>
      <c r="X118" s="993">
        <f t="shared" si="21"/>
        <v>0</v>
      </c>
      <c r="Y118" s="1830"/>
    </row>
    <row r="119" spans="1:25" s="1116" customFormat="1">
      <c r="A119" s="1156" t="str">
        <f t="shared" si="8"/>
        <v>F-04.03.1_160</v>
      </c>
      <c r="B119" s="361">
        <v>160</v>
      </c>
      <c r="C119" s="42" t="s">
        <v>127</v>
      </c>
      <c r="D119" s="82" t="s">
        <v>1711</v>
      </c>
      <c r="E119" s="707">
        <f t="shared" si="24"/>
        <v>0</v>
      </c>
      <c r="F119" s="890"/>
      <c r="G119" s="890"/>
      <c r="H119" s="890"/>
      <c r="I119" s="890"/>
      <c r="J119" s="948"/>
      <c r="K119" s="948"/>
      <c r="L119" s="948"/>
      <c r="M119" s="948"/>
      <c r="N119" s="948"/>
      <c r="O119" s="993">
        <f t="shared" si="9"/>
        <v>0</v>
      </c>
      <c r="P119" s="993">
        <f t="shared" si="13"/>
        <v>0</v>
      </c>
      <c r="Q119" s="993">
        <f t="shared" si="14"/>
        <v>0</v>
      </c>
      <c r="R119" s="993">
        <f t="shared" si="15"/>
        <v>0</v>
      </c>
      <c r="S119" s="993">
        <f t="shared" si="16"/>
        <v>0</v>
      </c>
      <c r="T119" s="993">
        <f t="shared" si="17"/>
        <v>0</v>
      </c>
      <c r="U119" s="993">
        <f t="shared" si="18"/>
        <v>0</v>
      </c>
      <c r="V119" s="993">
        <f t="shared" si="19"/>
        <v>0</v>
      </c>
      <c r="W119" s="993">
        <f t="shared" si="20"/>
        <v>0</v>
      </c>
      <c r="X119" s="993">
        <f t="shared" si="21"/>
        <v>0</v>
      </c>
      <c r="Y119" s="1830"/>
    </row>
    <row r="120" spans="1:25" s="1116" customFormat="1">
      <c r="A120" s="1156" t="str">
        <f t="shared" si="8"/>
        <v>F-04.03.1_170</v>
      </c>
      <c r="B120" s="362">
        <v>170</v>
      </c>
      <c r="C120" s="1352" t="s">
        <v>128</v>
      </c>
      <c r="D120" s="211" t="s">
        <v>1717</v>
      </c>
      <c r="E120" s="707">
        <f t="shared" si="24"/>
        <v>0</v>
      </c>
      <c r="F120" s="1647"/>
      <c r="G120" s="1647"/>
      <c r="H120" s="1647"/>
      <c r="I120" s="1647"/>
      <c r="J120" s="949"/>
      <c r="K120" s="949"/>
      <c r="L120" s="949"/>
      <c r="M120" s="949"/>
      <c r="N120" s="949"/>
      <c r="O120" s="993">
        <f t="shared" si="9"/>
        <v>0</v>
      </c>
      <c r="P120" s="993">
        <f t="shared" si="13"/>
        <v>0</v>
      </c>
      <c r="Q120" s="993">
        <f t="shared" si="14"/>
        <v>0</v>
      </c>
      <c r="R120" s="993">
        <f t="shared" si="15"/>
        <v>0</v>
      </c>
      <c r="S120" s="993">
        <f t="shared" si="16"/>
        <v>0</v>
      </c>
      <c r="T120" s="993">
        <f t="shared" si="17"/>
        <v>0</v>
      </c>
      <c r="U120" s="993">
        <f t="shared" si="18"/>
        <v>0</v>
      </c>
      <c r="V120" s="993">
        <f t="shared" si="19"/>
        <v>0</v>
      </c>
      <c r="W120" s="993">
        <f t="shared" si="20"/>
        <v>0</v>
      </c>
      <c r="X120" s="993">
        <f t="shared" si="21"/>
        <v>0</v>
      </c>
      <c r="Y120" s="1830"/>
    </row>
    <row r="121" spans="1:25" s="1116" customFormat="1" ht="31.5">
      <c r="A121" s="1156" t="str">
        <f t="shared" si="8"/>
        <v>F-04.03.1_180</v>
      </c>
      <c r="B121" s="375">
        <v>180</v>
      </c>
      <c r="C121" s="176" t="s">
        <v>2030</v>
      </c>
      <c r="D121" s="337" t="s">
        <v>1672</v>
      </c>
      <c r="E121" s="862">
        <f>SUM(E$104,E$108,E114)</f>
        <v>0</v>
      </c>
      <c r="F121" s="862">
        <f>SUM(F$108,F114)</f>
        <v>0</v>
      </c>
      <c r="G121" s="862">
        <f>SUM(G$108,G114)</f>
        <v>0</v>
      </c>
      <c r="H121" s="862">
        <f>SUM(H$108,H114)</f>
        <v>0</v>
      </c>
      <c r="I121" s="862">
        <f>SUM(I$108,I114)</f>
        <v>0</v>
      </c>
      <c r="J121" s="1092">
        <f>SUM(J$108,J114)</f>
        <v>0</v>
      </c>
      <c r="K121" s="1092">
        <f t="shared" ref="K121:N121" si="25">SUM(K$108,K114)</f>
        <v>0</v>
      </c>
      <c r="L121" s="1092">
        <f t="shared" si="25"/>
        <v>0</v>
      </c>
      <c r="M121" s="1092">
        <f t="shared" si="25"/>
        <v>0</v>
      </c>
      <c r="N121" s="1092">
        <f t="shared" si="25"/>
        <v>0</v>
      </c>
      <c r="O121" s="993">
        <f t="shared" si="9"/>
        <v>0</v>
      </c>
      <c r="P121" s="993">
        <f t="shared" si="13"/>
        <v>0</v>
      </c>
      <c r="Q121" s="993">
        <f t="shared" si="14"/>
        <v>0</v>
      </c>
      <c r="R121" s="993">
        <f t="shared" si="15"/>
        <v>0</v>
      </c>
      <c r="S121" s="993">
        <f t="shared" si="16"/>
        <v>0</v>
      </c>
      <c r="T121" s="993">
        <f t="shared" si="17"/>
        <v>0</v>
      </c>
      <c r="U121" s="993">
        <f t="shared" si="18"/>
        <v>0</v>
      </c>
      <c r="V121" s="993">
        <f t="shared" si="19"/>
        <v>0</v>
      </c>
      <c r="W121" s="993">
        <f t="shared" si="20"/>
        <v>0</v>
      </c>
      <c r="X121" s="993">
        <f t="shared" si="21"/>
        <v>0</v>
      </c>
      <c r="Y121" s="1476">
        <f>IF('20'!$G$8="N",0,IF($E121='20'!$E31+'20'!$F31,0,"{F 04.03.1, r180, c010} = +{F 20.01, r141, c010} + {F 20.01, r141, c020}"))</f>
        <v>0</v>
      </c>
    </row>
    <row r="122" spans="1:25" ht="31.5">
      <c r="A122" s="1156" t="str">
        <f t="shared" si="8"/>
        <v>F-04.03.1_190</v>
      </c>
      <c r="B122" s="375">
        <v>190</v>
      </c>
      <c r="C122" s="1605" t="s">
        <v>2031</v>
      </c>
      <c r="D122" s="337" t="s">
        <v>2032</v>
      </c>
      <c r="E122" s="1646"/>
      <c r="F122" s="1646"/>
      <c r="G122" s="1646"/>
      <c r="H122" s="1646"/>
      <c r="I122" s="1646"/>
      <c r="J122" s="1177"/>
      <c r="K122" s="1177"/>
      <c r="L122" s="1177"/>
      <c r="M122" s="1177"/>
      <c r="N122" s="1177"/>
      <c r="O122" s="993">
        <f t="shared" si="9"/>
        <v>0</v>
      </c>
      <c r="P122" s="993">
        <f t="shared" si="13"/>
        <v>0</v>
      </c>
      <c r="Q122" s="993">
        <f t="shared" si="14"/>
        <v>0</v>
      </c>
      <c r="R122" s="993">
        <f t="shared" si="15"/>
        <v>0</v>
      </c>
      <c r="S122" s="993">
        <f t="shared" si="16"/>
        <v>0</v>
      </c>
      <c r="T122" s="993">
        <f t="shared" si="17"/>
        <v>0</v>
      </c>
      <c r="U122" s="993">
        <f t="shared" si="18"/>
        <v>0</v>
      </c>
      <c r="V122" s="993">
        <f t="shared" si="19"/>
        <v>0</v>
      </c>
      <c r="W122" s="993">
        <f t="shared" si="20"/>
        <v>0</v>
      </c>
      <c r="X122" s="993">
        <f t="shared" si="21"/>
        <v>0</v>
      </c>
    </row>
    <row r="123" spans="1:25" ht="12.75" customHeight="1">
      <c r="A123" s="1100" t="s">
        <v>718</v>
      </c>
      <c r="C123" s="1"/>
      <c r="D123" s="1"/>
      <c r="E123" s="1648">
        <f>IF($E$104&gt;=SUM($E$105:$E$107),0,"r010&gt;=sum(r020-040)")</f>
        <v>0</v>
      </c>
      <c r="F123" s="866"/>
      <c r="G123" s="866"/>
      <c r="H123" s="866"/>
      <c r="I123" s="867"/>
      <c r="J123" s="867"/>
    </row>
    <row r="124" spans="1:25" ht="12.75" customHeight="1">
      <c r="A124" s="1100" t="s">
        <v>718</v>
      </c>
      <c r="C124" s="1"/>
      <c r="D124" s="1"/>
      <c r="E124" s="1648">
        <f>IF(E$121&gt;=E$122,0,"r180&gt;=r190")</f>
        <v>0</v>
      </c>
      <c r="F124" s="1648">
        <f>IF(F$121&gt;=F$122,0,"r180&gt;=r190")</f>
        <v>0</v>
      </c>
      <c r="G124" s="1648">
        <f>IF(G$121&gt;=G$122,0,"r180&gt;=r190")</f>
        <v>0</v>
      </c>
      <c r="H124" s="1648">
        <f>IF(H$121&gt;=H$122,0,"r180&gt;=r190")</f>
        <v>0</v>
      </c>
      <c r="I124" s="1648">
        <f>IF(I$121&gt;=I$122,0,"r180&gt;=r190")</f>
        <v>0</v>
      </c>
      <c r="J124" s="1648">
        <f>IF(J$121&lt;=J$122,0,"r180&lt;=r190")</f>
        <v>0</v>
      </c>
      <c r="K124" s="1648">
        <f>IF(K$121&lt;=K$122,0,"r180&lt;=r190")</f>
        <v>0</v>
      </c>
      <c r="L124" s="1648">
        <f>IF(L$121&lt;=L$122,0,"r180&lt;=r190")</f>
        <v>0</v>
      </c>
      <c r="M124" s="1648">
        <f>IF(M$121&lt;=M$122,0,"r180&lt;=r190")</f>
        <v>0</v>
      </c>
      <c r="N124" s="1648">
        <f>IF(N$121&lt;=N$122,0,"r180&lt;=r190")</f>
        <v>0</v>
      </c>
    </row>
    <row r="125" spans="1:25">
      <c r="A125" s="1156" t="s">
        <v>724</v>
      </c>
      <c r="B125" s="316"/>
      <c r="C125" s="317"/>
      <c r="D125" s="298"/>
      <c r="E125" s="875"/>
      <c r="F125" s="875"/>
      <c r="G125" s="875"/>
      <c r="H125" s="875"/>
      <c r="I125" s="864"/>
      <c r="J125" s="874"/>
      <c r="K125" s="873"/>
      <c r="L125" s="873"/>
      <c r="M125" s="873"/>
    </row>
    <row r="126" spans="1:25" ht="45" customHeight="1">
      <c r="C126" s="64"/>
      <c r="D126" s="65"/>
      <c r="E126" s="297"/>
      <c r="F126" s="876"/>
      <c r="G126" s="1470"/>
      <c r="H126" s="1472"/>
      <c r="I126" s="874"/>
      <c r="J126" s="867"/>
    </row>
    <row r="127" spans="1:25">
      <c r="E127" s="877"/>
      <c r="F127" s="877"/>
      <c r="G127" s="877"/>
      <c r="H127" s="1472"/>
      <c r="I127" s="874"/>
      <c r="J127" s="867"/>
    </row>
    <row r="128" spans="1:25" s="1097" customFormat="1" ht="18" hidden="1" customHeight="1">
      <c r="A128" s="1096" t="s">
        <v>2254</v>
      </c>
      <c r="B128" s="1118">
        <v>2</v>
      </c>
      <c r="C128" s="1118">
        <v>1</v>
      </c>
      <c r="D128" s="1119">
        <v>14</v>
      </c>
      <c r="E128" s="1182">
        <v>5</v>
      </c>
      <c r="F128" s="1120">
        <v>3</v>
      </c>
      <c r="G128" s="1121">
        <v>4</v>
      </c>
      <c r="H128" s="1122">
        <v>4</v>
      </c>
      <c r="I128" s="1122">
        <v>4</v>
      </c>
      <c r="J128" s="1123">
        <v>4</v>
      </c>
      <c r="K128" s="1123">
        <v>5</v>
      </c>
      <c r="L128" s="1124">
        <v>4</v>
      </c>
      <c r="M128" s="1124">
        <v>6</v>
      </c>
      <c r="N128" s="1125">
        <v>4</v>
      </c>
      <c r="O128" s="1125">
        <v>7</v>
      </c>
    </row>
    <row r="129" spans="1:25" s="1097" customFormat="1" ht="18" hidden="1" customHeight="1">
      <c r="A129" s="1096" t="str">
        <f>Index!$A$2</f>
        <v>V20181222</v>
      </c>
      <c r="B129" s="1098"/>
      <c r="C129" s="1099"/>
      <c r="D129" s="1100"/>
      <c r="E129" s="1100" t="str">
        <f t="shared" ref="E129:J129" si="26">$A$128&amp;"_"&amp;E141</f>
        <v>F-04.04.1_010</v>
      </c>
      <c r="F129" s="1100" t="str">
        <f t="shared" si="26"/>
        <v>F-04.04.1_015</v>
      </c>
      <c r="G129" s="1100" t="str">
        <f t="shared" si="26"/>
        <v>F-04.04.1_020</v>
      </c>
      <c r="H129" s="1100" t="str">
        <f t="shared" si="26"/>
        <v>F-04.04.1_030</v>
      </c>
      <c r="I129" s="1100" t="str">
        <f t="shared" si="26"/>
        <v>F-04.04.1_040</v>
      </c>
      <c r="J129" s="1100" t="str">
        <f t="shared" si="26"/>
        <v>F-04.04.1_050</v>
      </c>
      <c r="K129" s="1100" t="str">
        <f>$A$128&amp;"_"&amp;K141</f>
        <v>F-04.04.1_060</v>
      </c>
      <c r="L129" s="1100" t="str">
        <f t="shared" ref="L129:N129" si="27">$A$128&amp;"_"&amp;L141</f>
        <v>F-04.04.1_070</v>
      </c>
      <c r="M129" s="1100" t="str">
        <f t="shared" si="27"/>
        <v>F-04.04.1_080</v>
      </c>
      <c r="N129" s="1100" t="str">
        <f t="shared" si="27"/>
        <v>F-04.04.1_090</v>
      </c>
    </row>
    <row r="130" spans="1:25" s="1097" customFormat="1" ht="18" hidden="1" customHeight="1">
      <c r="A130" s="1096" t="str">
        <f>"R:A1:P"&amp;ROW(A278)+1</f>
        <v>R:A1:P279</v>
      </c>
      <c r="B130" s="1102"/>
      <c r="C130" s="1103"/>
      <c r="D130" s="1104"/>
      <c r="E130" s="1105"/>
      <c r="F130" s="1106"/>
      <c r="G130" s="1107"/>
      <c r="H130" s="1107"/>
      <c r="I130" s="1107"/>
      <c r="J130" s="1107"/>
      <c r="K130" s="1107"/>
    </row>
    <row r="131" spans="1:25" s="1097" customFormat="1" ht="18" hidden="1" customHeight="1">
      <c r="A131" s="1096"/>
      <c r="B131" s="1102"/>
      <c r="C131" s="1103"/>
      <c r="D131" s="1108"/>
      <c r="E131" s="1109"/>
      <c r="F131" s="1110"/>
      <c r="G131" s="1111">
        <f>N132</f>
        <v>0</v>
      </c>
      <c r="H131" s="1107"/>
      <c r="I131" s="1107"/>
      <c r="J131" s="1107"/>
      <c r="K131" s="1107"/>
    </row>
    <row r="132" spans="1:25" s="1097" customFormat="1" ht="18" hidden="1" customHeight="1">
      <c r="A132" s="1096"/>
      <c r="B132" s="1102"/>
      <c r="C132" s="1103"/>
      <c r="D132" s="1112"/>
      <c r="E132" s="1113"/>
      <c r="F132" s="1114"/>
      <c r="N132" s="1097">
        <f>COUNTIF(O142:Y156,"&lt;&gt;0")-COUNTBLANK(O142:Y156)+COUNTIF(E157:N157,"&lt;&gt;0")-COUNTBLANK(E157:N157)</f>
        <v>0</v>
      </c>
    </row>
    <row r="133" spans="1:25" s="1097" customFormat="1" ht="18" hidden="1" customHeight="1">
      <c r="A133" s="1096"/>
      <c r="B133" s="1102"/>
      <c r="C133" s="1103"/>
      <c r="D133" s="1112"/>
      <c r="E133" s="1113"/>
      <c r="F133" s="1114"/>
    </row>
    <row r="134" spans="1:25" s="1116" customFormat="1">
      <c r="A134" s="1100"/>
      <c r="B134" s="1"/>
    </row>
    <row r="135" spans="1:25" s="1116" customFormat="1">
      <c r="A135" s="1100"/>
      <c r="B135" s="168" t="s">
        <v>2033</v>
      </c>
      <c r="C135" s="30"/>
      <c r="D135" s="30"/>
      <c r="E135" s="30"/>
      <c r="F135" s="30"/>
      <c r="G135" s="30"/>
      <c r="H135" s="24"/>
      <c r="I135" s="30"/>
      <c r="J135" s="30"/>
      <c r="K135" s="30"/>
      <c r="L135" s="30"/>
      <c r="M135" s="30"/>
      <c r="N135" s="30"/>
    </row>
    <row r="136" spans="1:25" s="1116" customFormat="1">
      <c r="A136" s="1100"/>
      <c r="B136" s="30"/>
      <c r="C136" s="66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</row>
    <row r="137" spans="1:25" s="1116" customFormat="1" ht="27" customHeight="1">
      <c r="A137" s="1100"/>
      <c r="B137" s="1998"/>
      <c r="C137" s="1999"/>
      <c r="D137" s="1992" t="s">
        <v>551</v>
      </c>
      <c r="E137" s="1981" t="s">
        <v>57</v>
      </c>
      <c r="F137" s="1978" t="s">
        <v>2015</v>
      </c>
      <c r="G137" s="1979"/>
      <c r="H137" s="1979"/>
      <c r="I137" s="1980"/>
      <c r="J137" s="1978" t="s">
        <v>2034</v>
      </c>
      <c r="K137" s="1979"/>
      <c r="L137" s="1980"/>
      <c r="M137" s="1981" t="s">
        <v>2017</v>
      </c>
      <c r="N137" s="1981" t="s">
        <v>2018</v>
      </c>
    </row>
    <row r="138" spans="1:25" s="1116" customFormat="1" ht="28.5" customHeight="1">
      <c r="A138" s="1100"/>
      <c r="B138" s="2000"/>
      <c r="C138" s="2001"/>
      <c r="D138" s="1993"/>
      <c r="E138" s="1982"/>
      <c r="F138" s="1984" t="s">
        <v>1988</v>
      </c>
      <c r="G138" s="1496"/>
      <c r="H138" s="1981" t="s">
        <v>1989</v>
      </c>
      <c r="I138" s="1986" t="s">
        <v>1990</v>
      </c>
      <c r="J138" s="1981" t="s">
        <v>1988</v>
      </c>
      <c r="K138" s="1981" t="s">
        <v>1989</v>
      </c>
      <c r="L138" s="1981" t="s">
        <v>1990</v>
      </c>
      <c r="M138" s="1982"/>
      <c r="N138" s="1982"/>
    </row>
    <row r="139" spans="1:25" s="1116" customFormat="1" ht="72.75" customHeight="1">
      <c r="A139" s="1100"/>
      <c r="B139" s="2000"/>
      <c r="C139" s="2001"/>
      <c r="D139" s="1993"/>
      <c r="E139" s="1983"/>
      <c r="F139" s="1985"/>
      <c r="G139" s="613" t="s">
        <v>2019</v>
      </c>
      <c r="H139" s="1983"/>
      <c r="I139" s="1987"/>
      <c r="J139" s="1983"/>
      <c r="K139" s="1983"/>
      <c r="L139" s="1983"/>
      <c r="M139" s="1983"/>
      <c r="N139" s="1983"/>
    </row>
    <row r="140" spans="1:25" s="1116" customFormat="1" ht="52.5">
      <c r="A140" s="1100"/>
      <c r="B140" s="2000"/>
      <c r="C140" s="2001"/>
      <c r="D140" s="1993"/>
      <c r="E140" s="584" t="s">
        <v>604</v>
      </c>
      <c r="F140" s="399" t="s">
        <v>2020</v>
      </c>
      <c r="G140" s="399" t="s">
        <v>2021</v>
      </c>
      <c r="H140" s="399" t="s">
        <v>2022</v>
      </c>
      <c r="I140" s="399" t="s">
        <v>2023</v>
      </c>
      <c r="J140" s="399" t="s">
        <v>2035</v>
      </c>
      <c r="K140" s="399" t="s">
        <v>2036</v>
      </c>
      <c r="L140" s="399" t="s">
        <v>2037</v>
      </c>
      <c r="M140" s="399" t="s">
        <v>2027</v>
      </c>
      <c r="N140" s="399" t="s">
        <v>2028</v>
      </c>
    </row>
    <row r="141" spans="1:25" s="1116" customFormat="1">
      <c r="A141" s="1100" t="s">
        <v>718</v>
      </c>
      <c r="B141" s="2002"/>
      <c r="C141" s="2003"/>
      <c r="D141" s="1994"/>
      <c r="E141" s="462" t="s">
        <v>292</v>
      </c>
      <c r="F141" s="462" t="s">
        <v>1571</v>
      </c>
      <c r="G141" s="462" t="s">
        <v>293</v>
      </c>
      <c r="H141" s="462" t="s">
        <v>294</v>
      </c>
      <c r="I141" s="462" t="s">
        <v>295</v>
      </c>
      <c r="J141" s="462" t="s">
        <v>296</v>
      </c>
      <c r="K141" s="462" t="s">
        <v>297</v>
      </c>
      <c r="L141" s="462" t="s">
        <v>298</v>
      </c>
      <c r="M141" s="462" t="s">
        <v>299</v>
      </c>
      <c r="N141" s="462" t="s">
        <v>300</v>
      </c>
    </row>
    <row r="142" spans="1:25" s="1116" customFormat="1" ht="21">
      <c r="A142" s="1156" t="str">
        <f>$A$128&amp;"_"&amp;B142</f>
        <v>F-04.04.1_010</v>
      </c>
      <c r="B142" s="360" t="s">
        <v>292</v>
      </c>
      <c r="C142" s="1506" t="s">
        <v>55</v>
      </c>
      <c r="D142" s="14" t="s">
        <v>1712</v>
      </c>
      <c r="E142" s="707">
        <f>SUM(F142,H142:L142)</f>
        <v>0</v>
      </c>
      <c r="F142" s="707">
        <f t="shared" ref="F142:N142" si="28">SUM(F$143:F$147)</f>
        <v>0</v>
      </c>
      <c r="G142" s="707">
        <f t="shared" si="28"/>
        <v>0</v>
      </c>
      <c r="H142" s="707">
        <f t="shared" si="28"/>
        <v>0</v>
      </c>
      <c r="I142" s="707">
        <f t="shared" si="28"/>
        <v>0</v>
      </c>
      <c r="J142" s="707">
        <f t="shared" si="28"/>
        <v>0</v>
      </c>
      <c r="K142" s="707">
        <f t="shared" si="28"/>
        <v>0</v>
      </c>
      <c r="L142" s="707">
        <f t="shared" si="28"/>
        <v>0</v>
      </c>
      <c r="M142" s="707">
        <f t="shared" si="28"/>
        <v>0</v>
      </c>
      <c r="N142" s="707">
        <f t="shared" si="28"/>
        <v>0</v>
      </c>
      <c r="O142" s="993">
        <f>IF($E142&gt;=0,0,"F04.04.01&gt;=0, c10")</f>
        <v>0</v>
      </c>
      <c r="P142" s="993">
        <f>IF($F142&gt;=0,0,"F04.04.01&gt;=0, c15")</f>
        <v>0</v>
      </c>
      <c r="Q142" s="993">
        <f>IF($G142&gt;=0,0,"F04.04.01&gt;=0, c020")</f>
        <v>0</v>
      </c>
      <c r="R142" s="993">
        <f>IF($H142&gt;=0,0,"F04.04.01&gt;=0, c030")</f>
        <v>0</v>
      </c>
      <c r="S142" s="993">
        <f>IF($I142&gt;=0,0,"F04.04.01&gt;=0, c040")</f>
        <v>0</v>
      </c>
      <c r="T142" s="993">
        <f>IF($J142&lt;=0,0,"F04.04.01&lt;=0, c050")</f>
        <v>0</v>
      </c>
      <c r="U142" s="993">
        <f>IF($K142&lt;=0,0,"F04.04.01&lt;=0, c060")</f>
        <v>0</v>
      </c>
      <c r="V142" s="993">
        <f>IF($L142&lt;=0,0,"F04.04.01&lt;=0, c070")</f>
        <v>0</v>
      </c>
      <c r="W142" s="993">
        <f>IF($M142&lt;=0,0,"F04.04.01&lt;=0, c080")</f>
        <v>0</v>
      </c>
      <c r="X142" s="993">
        <f>IF($N142&lt;=0,0,"F04.04.01&lt;=0, c090")</f>
        <v>0</v>
      </c>
      <c r="Y142" s="1476">
        <f>IF('20'!$G$8="N",0,IF($E142='20'!$E36+'20'!$F36,0,"{F 04.04.1, r010, c010} = +{F 20.01, r182, c010} + {F 20.01, r182, c020}"))</f>
        <v>0</v>
      </c>
    </row>
    <row r="143" spans="1:25" s="1116" customFormat="1">
      <c r="A143" s="1156" t="str">
        <f t="shared" ref="A143:A156" si="29">$A$128&amp;"_"&amp;B143</f>
        <v>F-04.04.1_020</v>
      </c>
      <c r="B143" s="361" t="s">
        <v>293</v>
      </c>
      <c r="C143" s="122" t="s">
        <v>99</v>
      </c>
      <c r="D143" s="82" t="s">
        <v>1713</v>
      </c>
      <c r="E143" s="707">
        <f t="shared" ref="E143:E154" si="30">SUM(F143,H143:L143)</f>
        <v>0</v>
      </c>
      <c r="F143" s="890"/>
      <c r="G143" s="890"/>
      <c r="H143" s="890"/>
      <c r="I143" s="890"/>
      <c r="J143" s="949"/>
      <c r="K143" s="949"/>
      <c r="L143" s="949"/>
      <c r="M143" s="949"/>
      <c r="N143" s="949"/>
      <c r="O143" s="993">
        <f t="shared" ref="O143:O156" si="31">IF($E143&gt;=0,0,"F04.04.01&gt;=0, c10")</f>
        <v>0</v>
      </c>
      <c r="P143" s="993">
        <f t="shared" ref="P143:P156" si="32">IF($F143&gt;=0,0,"F04.04.01&gt;=0, c15")</f>
        <v>0</v>
      </c>
      <c r="Q143" s="993">
        <f t="shared" ref="Q143:Q156" si="33">IF($G143&gt;=0,0,"F04.04.01&gt;=0, c020")</f>
        <v>0</v>
      </c>
      <c r="R143" s="993">
        <f t="shared" ref="R143:R156" si="34">IF($H143&gt;=0,0,"F04.04.01&gt;=0, c030")</f>
        <v>0</v>
      </c>
      <c r="S143" s="993">
        <f t="shared" ref="S143:S156" si="35">IF($I143&gt;=0,0,"F04.04.01&gt;=0, c040")</f>
        <v>0</v>
      </c>
      <c r="T143" s="993">
        <f t="shared" ref="T143:T156" si="36">IF($J143&lt;=0,0,"F04.04.01&lt;=0, c050")</f>
        <v>0</v>
      </c>
      <c r="U143" s="993">
        <f t="shared" ref="U143:U156" si="37">IF($K143&lt;=0,0,"F04.04.01&lt;=0, c060")</f>
        <v>0</v>
      </c>
      <c r="V143" s="993">
        <f t="shared" ref="V143:V156" si="38">IF($L143&lt;=0,0,"F04.04.01&lt;=0, c070")</f>
        <v>0</v>
      </c>
      <c r="W143" s="993">
        <f t="shared" ref="W143:W156" si="39">IF($M143&lt;=0,0,"F04.04.01&lt;=0, c080")</f>
        <v>0</v>
      </c>
      <c r="X143" s="993">
        <f t="shared" ref="X143:X156" si="40">IF($N143&lt;=0,0,"F04.04.01&lt;=0, c090")</f>
        <v>0</v>
      </c>
      <c r="Y143" s="1830"/>
    </row>
    <row r="144" spans="1:25" s="1116" customFormat="1">
      <c r="A144" s="1156" t="str">
        <f t="shared" si="29"/>
        <v>F-04.04.1_030</v>
      </c>
      <c r="B144" s="361" t="s">
        <v>294</v>
      </c>
      <c r="C144" s="122" t="s">
        <v>100</v>
      </c>
      <c r="D144" s="82" t="s">
        <v>1714</v>
      </c>
      <c r="E144" s="707">
        <f t="shared" si="30"/>
        <v>0</v>
      </c>
      <c r="F144" s="890"/>
      <c r="G144" s="890"/>
      <c r="H144" s="890"/>
      <c r="I144" s="890"/>
      <c r="J144" s="949"/>
      <c r="K144" s="949"/>
      <c r="L144" s="949"/>
      <c r="M144" s="949"/>
      <c r="N144" s="949"/>
      <c r="O144" s="993">
        <f t="shared" si="31"/>
        <v>0</v>
      </c>
      <c r="P144" s="993">
        <f t="shared" si="32"/>
        <v>0</v>
      </c>
      <c r="Q144" s="993">
        <f t="shared" si="33"/>
        <v>0</v>
      </c>
      <c r="R144" s="993">
        <f t="shared" si="34"/>
        <v>0</v>
      </c>
      <c r="S144" s="993">
        <f t="shared" si="35"/>
        <v>0</v>
      </c>
      <c r="T144" s="993">
        <f t="shared" si="36"/>
        <v>0</v>
      </c>
      <c r="U144" s="993">
        <f t="shared" si="37"/>
        <v>0</v>
      </c>
      <c r="V144" s="993">
        <f t="shared" si="38"/>
        <v>0</v>
      </c>
      <c r="W144" s="993">
        <f t="shared" si="39"/>
        <v>0</v>
      </c>
      <c r="X144" s="993">
        <f t="shared" si="40"/>
        <v>0</v>
      </c>
      <c r="Y144" s="1830"/>
    </row>
    <row r="145" spans="1:25" s="1116" customFormat="1">
      <c r="A145" s="1156" t="str">
        <f t="shared" si="29"/>
        <v>F-04.04.1_040</v>
      </c>
      <c r="B145" s="361" t="s">
        <v>295</v>
      </c>
      <c r="C145" s="122" t="s">
        <v>101</v>
      </c>
      <c r="D145" s="82" t="s">
        <v>1709</v>
      </c>
      <c r="E145" s="707">
        <f t="shared" si="30"/>
        <v>0</v>
      </c>
      <c r="F145" s="890"/>
      <c r="G145" s="890"/>
      <c r="H145" s="890"/>
      <c r="I145" s="890"/>
      <c r="J145" s="949"/>
      <c r="K145" s="949"/>
      <c r="L145" s="949"/>
      <c r="M145" s="949"/>
      <c r="N145" s="949"/>
      <c r="O145" s="993">
        <f t="shared" si="31"/>
        <v>0</v>
      </c>
      <c r="P145" s="993">
        <f t="shared" si="32"/>
        <v>0</v>
      </c>
      <c r="Q145" s="993">
        <f t="shared" si="33"/>
        <v>0</v>
      </c>
      <c r="R145" s="993">
        <f t="shared" si="34"/>
        <v>0</v>
      </c>
      <c r="S145" s="993">
        <f t="shared" si="35"/>
        <v>0</v>
      </c>
      <c r="T145" s="993">
        <f t="shared" si="36"/>
        <v>0</v>
      </c>
      <c r="U145" s="993">
        <f t="shared" si="37"/>
        <v>0</v>
      </c>
      <c r="V145" s="993">
        <f t="shared" si="38"/>
        <v>0</v>
      </c>
      <c r="W145" s="993">
        <f t="shared" si="39"/>
        <v>0</v>
      </c>
      <c r="X145" s="993">
        <f t="shared" si="40"/>
        <v>0</v>
      </c>
      <c r="Y145" s="1830"/>
    </row>
    <row r="146" spans="1:25" s="1116" customFormat="1">
      <c r="A146" s="1156" t="str">
        <f t="shared" si="29"/>
        <v>F-04.04.1_050</v>
      </c>
      <c r="B146" s="361" t="s">
        <v>296</v>
      </c>
      <c r="C146" s="122" t="s">
        <v>102</v>
      </c>
      <c r="D146" s="82" t="s">
        <v>1710</v>
      </c>
      <c r="E146" s="707">
        <f t="shared" si="30"/>
        <v>0</v>
      </c>
      <c r="F146" s="890"/>
      <c r="G146" s="890"/>
      <c r="H146" s="890"/>
      <c r="I146" s="890"/>
      <c r="J146" s="949"/>
      <c r="K146" s="949"/>
      <c r="L146" s="949"/>
      <c r="M146" s="949"/>
      <c r="N146" s="949"/>
      <c r="O146" s="993">
        <f t="shared" si="31"/>
        <v>0</v>
      </c>
      <c r="P146" s="993">
        <f t="shared" si="32"/>
        <v>0</v>
      </c>
      <c r="Q146" s="993">
        <f t="shared" si="33"/>
        <v>0</v>
      </c>
      <c r="R146" s="993">
        <f t="shared" si="34"/>
        <v>0</v>
      </c>
      <c r="S146" s="993">
        <f t="shared" si="35"/>
        <v>0</v>
      </c>
      <c r="T146" s="993">
        <f t="shared" si="36"/>
        <v>0</v>
      </c>
      <c r="U146" s="993">
        <f t="shared" si="37"/>
        <v>0</v>
      </c>
      <c r="V146" s="993">
        <f t="shared" si="38"/>
        <v>0</v>
      </c>
      <c r="W146" s="993">
        <f t="shared" si="39"/>
        <v>0</v>
      </c>
      <c r="X146" s="993">
        <f t="shared" si="40"/>
        <v>0</v>
      </c>
      <c r="Y146" s="1830"/>
    </row>
    <row r="147" spans="1:25" s="1116" customFormat="1">
      <c r="A147" s="1156" t="str">
        <f t="shared" si="29"/>
        <v>F-04.04.1_060</v>
      </c>
      <c r="B147" s="361" t="s">
        <v>297</v>
      </c>
      <c r="C147" s="42" t="s">
        <v>127</v>
      </c>
      <c r="D147" s="69" t="s">
        <v>1711</v>
      </c>
      <c r="E147" s="707">
        <f t="shared" si="30"/>
        <v>0</v>
      </c>
      <c r="F147" s="890"/>
      <c r="G147" s="890"/>
      <c r="H147" s="890"/>
      <c r="I147" s="890"/>
      <c r="J147" s="949"/>
      <c r="K147" s="949"/>
      <c r="L147" s="949"/>
      <c r="M147" s="949"/>
      <c r="N147" s="949"/>
      <c r="O147" s="993">
        <f t="shared" si="31"/>
        <v>0</v>
      </c>
      <c r="P147" s="993">
        <f t="shared" si="32"/>
        <v>0</v>
      </c>
      <c r="Q147" s="993">
        <f t="shared" si="33"/>
        <v>0</v>
      </c>
      <c r="R147" s="993">
        <f t="shared" si="34"/>
        <v>0</v>
      </c>
      <c r="S147" s="993">
        <f t="shared" si="35"/>
        <v>0</v>
      </c>
      <c r="T147" s="993">
        <f t="shared" si="36"/>
        <v>0</v>
      </c>
      <c r="U147" s="993">
        <f t="shared" si="37"/>
        <v>0</v>
      </c>
      <c r="V147" s="993">
        <f t="shared" si="38"/>
        <v>0</v>
      </c>
      <c r="W147" s="993">
        <f t="shared" si="39"/>
        <v>0</v>
      </c>
      <c r="X147" s="993">
        <f t="shared" si="40"/>
        <v>0</v>
      </c>
      <c r="Y147" s="1830"/>
    </row>
    <row r="148" spans="1:25" s="1116" customFormat="1" ht="21">
      <c r="A148" s="1156" t="str">
        <f t="shared" si="29"/>
        <v>F-04.04.1_070</v>
      </c>
      <c r="B148" s="361" t="s">
        <v>298</v>
      </c>
      <c r="C148" s="1312" t="s">
        <v>61</v>
      </c>
      <c r="D148" s="14" t="s">
        <v>1715</v>
      </c>
      <c r="E148" s="707">
        <f>SUM(F148,H148:L148)</f>
        <v>0</v>
      </c>
      <c r="F148" s="707">
        <f t="shared" ref="F148:N148" si="41">SUM(F$149:F$154)</f>
        <v>0</v>
      </c>
      <c r="G148" s="707">
        <f t="shared" si="41"/>
        <v>0</v>
      </c>
      <c r="H148" s="707">
        <f t="shared" si="41"/>
        <v>0</v>
      </c>
      <c r="I148" s="707">
        <f t="shared" si="41"/>
        <v>0</v>
      </c>
      <c r="J148" s="707">
        <f t="shared" si="41"/>
        <v>0</v>
      </c>
      <c r="K148" s="707">
        <f t="shared" si="41"/>
        <v>0</v>
      </c>
      <c r="L148" s="707">
        <f t="shared" si="41"/>
        <v>0</v>
      </c>
      <c r="M148" s="707">
        <f t="shared" si="41"/>
        <v>0</v>
      </c>
      <c r="N148" s="707">
        <f t="shared" si="41"/>
        <v>0</v>
      </c>
      <c r="O148" s="993">
        <f t="shared" si="31"/>
        <v>0</v>
      </c>
      <c r="P148" s="993">
        <f t="shared" si="32"/>
        <v>0</v>
      </c>
      <c r="Q148" s="993">
        <f t="shared" si="33"/>
        <v>0</v>
      </c>
      <c r="R148" s="993">
        <f t="shared" si="34"/>
        <v>0</v>
      </c>
      <c r="S148" s="993">
        <f t="shared" si="35"/>
        <v>0</v>
      </c>
      <c r="T148" s="993">
        <f t="shared" si="36"/>
        <v>0</v>
      </c>
      <c r="U148" s="993">
        <f t="shared" si="37"/>
        <v>0</v>
      </c>
      <c r="V148" s="993">
        <f t="shared" si="38"/>
        <v>0</v>
      </c>
      <c r="W148" s="993">
        <f t="shared" si="39"/>
        <v>0</v>
      </c>
      <c r="X148" s="993">
        <f t="shared" si="40"/>
        <v>0</v>
      </c>
      <c r="Y148" s="1476">
        <f>IF('20'!$G$8="N",0,IF($E148='20'!$E37+'20'!$F37,0,"{F 04.04.1, r070, c010} = +{F 20.01, r183, c010} + {F 20.01, r183, c020}"))</f>
        <v>0</v>
      </c>
    </row>
    <row r="149" spans="1:25" s="1116" customFormat="1">
      <c r="A149" s="1156" t="str">
        <f t="shared" si="29"/>
        <v>F-04.04.1_080</v>
      </c>
      <c r="B149" s="361" t="s">
        <v>299</v>
      </c>
      <c r="C149" s="122" t="s">
        <v>99</v>
      </c>
      <c r="D149" s="82" t="s">
        <v>1713</v>
      </c>
      <c r="E149" s="707">
        <f t="shared" si="30"/>
        <v>0</v>
      </c>
      <c r="F149" s="890"/>
      <c r="G149" s="890"/>
      <c r="H149" s="890"/>
      <c r="I149" s="890"/>
      <c r="J149" s="949"/>
      <c r="K149" s="949"/>
      <c r="L149" s="949"/>
      <c r="M149" s="949"/>
      <c r="N149" s="949"/>
      <c r="O149" s="993">
        <f t="shared" si="31"/>
        <v>0</v>
      </c>
      <c r="P149" s="993">
        <f t="shared" si="32"/>
        <v>0</v>
      </c>
      <c r="Q149" s="993">
        <f t="shared" si="33"/>
        <v>0</v>
      </c>
      <c r="R149" s="993">
        <f t="shared" si="34"/>
        <v>0</v>
      </c>
      <c r="S149" s="993">
        <f t="shared" si="35"/>
        <v>0</v>
      </c>
      <c r="T149" s="993">
        <f t="shared" si="36"/>
        <v>0</v>
      </c>
      <c r="U149" s="993">
        <f t="shared" si="37"/>
        <v>0</v>
      </c>
      <c r="V149" s="993">
        <f t="shared" si="38"/>
        <v>0</v>
      </c>
      <c r="W149" s="993">
        <f t="shared" si="39"/>
        <v>0</v>
      </c>
      <c r="X149" s="993">
        <f t="shared" si="40"/>
        <v>0</v>
      </c>
      <c r="Y149" s="1830"/>
    </row>
    <row r="150" spans="1:25" s="1116" customFormat="1">
      <c r="A150" s="1156" t="str">
        <f t="shared" si="29"/>
        <v>F-04.04.1_090</v>
      </c>
      <c r="B150" s="361" t="s">
        <v>300</v>
      </c>
      <c r="C150" s="122" t="s">
        <v>100</v>
      </c>
      <c r="D150" s="82" t="s">
        <v>1714</v>
      </c>
      <c r="E150" s="707">
        <f t="shared" si="30"/>
        <v>0</v>
      </c>
      <c r="F150" s="890"/>
      <c r="G150" s="890"/>
      <c r="H150" s="890"/>
      <c r="I150" s="890"/>
      <c r="J150" s="949"/>
      <c r="K150" s="949"/>
      <c r="L150" s="949"/>
      <c r="M150" s="949"/>
      <c r="N150" s="949"/>
      <c r="O150" s="993">
        <f t="shared" si="31"/>
        <v>0</v>
      </c>
      <c r="P150" s="993">
        <f t="shared" si="32"/>
        <v>0</v>
      </c>
      <c r="Q150" s="993">
        <f t="shared" si="33"/>
        <v>0</v>
      </c>
      <c r="R150" s="993">
        <f t="shared" si="34"/>
        <v>0</v>
      </c>
      <c r="S150" s="993">
        <f t="shared" si="35"/>
        <v>0</v>
      </c>
      <c r="T150" s="993">
        <f t="shared" si="36"/>
        <v>0</v>
      </c>
      <c r="U150" s="993">
        <f t="shared" si="37"/>
        <v>0</v>
      </c>
      <c r="V150" s="993">
        <f t="shared" si="38"/>
        <v>0</v>
      </c>
      <c r="W150" s="993">
        <f t="shared" si="39"/>
        <v>0</v>
      </c>
      <c r="X150" s="993">
        <f t="shared" si="40"/>
        <v>0</v>
      </c>
      <c r="Y150" s="1830"/>
    </row>
    <row r="151" spans="1:25" s="1116" customFormat="1">
      <c r="A151" s="1156" t="str">
        <f t="shared" si="29"/>
        <v>F-04.04.1_100</v>
      </c>
      <c r="B151" s="361" t="s">
        <v>301</v>
      </c>
      <c r="C151" s="122" t="s">
        <v>101</v>
      </c>
      <c r="D151" s="82" t="s">
        <v>1709</v>
      </c>
      <c r="E151" s="707">
        <f t="shared" si="30"/>
        <v>0</v>
      </c>
      <c r="F151" s="890"/>
      <c r="G151" s="890"/>
      <c r="H151" s="890"/>
      <c r="I151" s="890"/>
      <c r="J151" s="949"/>
      <c r="K151" s="949"/>
      <c r="L151" s="949"/>
      <c r="M151" s="949"/>
      <c r="N151" s="949"/>
      <c r="O151" s="993">
        <f t="shared" si="31"/>
        <v>0</v>
      </c>
      <c r="P151" s="993">
        <f t="shared" si="32"/>
        <v>0</v>
      </c>
      <c r="Q151" s="993">
        <f t="shared" si="33"/>
        <v>0</v>
      </c>
      <c r="R151" s="993">
        <f t="shared" si="34"/>
        <v>0</v>
      </c>
      <c r="S151" s="993">
        <f t="shared" si="35"/>
        <v>0</v>
      </c>
      <c r="T151" s="993">
        <f t="shared" si="36"/>
        <v>0</v>
      </c>
      <c r="U151" s="993">
        <f t="shared" si="37"/>
        <v>0</v>
      </c>
      <c r="V151" s="993">
        <f t="shared" si="38"/>
        <v>0</v>
      </c>
      <c r="W151" s="993">
        <f t="shared" si="39"/>
        <v>0</v>
      </c>
      <c r="X151" s="993">
        <f t="shared" si="40"/>
        <v>0</v>
      </c>
      <c r="Y151" s="1830"/>
    </row>
    <row r="152" spans="1:25" s="1116" customFormat="1">
      <c r="A152" s="1156" t="str">
        <f t="shared" si="29"/>
        <v>F-04.04.1_110</v>
      </c>
      <c r="B152" s="361" t="s">
        <v>302</v>
      </c>
      <c r="C152" s="122" t="s">
        <v>102</v>
      </c>
      <c r="D152" s="82" t="s">
        <v>1710</v>
      </c>
      <c r="E152" s="707">
        <f t="shared" si="30"/>
        <v>0</v>
      </c>
      <c r="F152" s="890"/>
      <c r="G152" s="890"/>
      <c r="H152" s="890"/>
      <c r="I152" s="890"/>
      <c r="J152" s="949"/>
      <c r="K152" s="949"/>
      <c r="L152" s="949"/>
      <c r="M152" s="949"/>
      <c r="N152" s="949"/>
      <c r="O152" s="993">
        <f t="shared" si="31"/>
        <v>0</v>
      </c>
      <c r="P152" s="993">
        <f t="shared" si="32"/>
        <v>0</v>
      </c>
      <c r="Q152" s="993">
        <f t="shared" si="33"/>
        <v>0</v>
      </c>
      <c r="R152" s="993">
        <f t="shared" si="34"/>
        <v>0</v>
      </c>
      <c r="S152" s="993">
        <f t="shared" si="35"/>
        <v>0</v>
      </c>
      <c r="T152" s="993">
        <f t="shared" si="36"/>
        <v>0</v>
      </c>
      <c r="U152" s="993">
        <f t="shared" si="37"/>
        <v>0</v>
      </c>
      <c r="V152" s="993">
        <f t="shared" si="38"/>
        <v>0</v>
      </c>
      <c r="W152" s="993">
        <f t="shared" si="39"/>
        <v>0</v>
      </c>
      <c r="X152" s="993">
        <f t="shared" si="40"/>
        <v>0</v>
      </c>
      <c r="Y152" s="1830"/>
    </row>
    <row r="153" spans="1:25" s="1116" customFormat="1">
      <c r="A153" s="1156" t="str">
        <f t="shared" si="29"/>
        <v>F-04.04.1_120</v>
      </c>
      <c r="B153" s="361" t="s">
        <v>303</v>
      </c>
      <c r="C153" s="42" t="s">
        <v>127</v>
      </c>
      <c r="D153" s="82" t="s">
        <v>1711</v>
      </c>
      <c r="E153" s="707">
        <f t="shared" si="30"/>
        <v>0</v>
      </c>
      <c r="F153" s="890"/>
      <c r="G153" s="890"/>
      <c r="H153" s="890"/>
      <c r="I153" s="890"/>
      <c r="J153" s="949"/>
      <c r="K153" s="949"/>
      <c r="L153" s="949"/>
      <c r="M153" s="949"/>
      <c r="N153" s="949"/>
      <c r="O153" s="993">
        <f t="shared" si="31"/>
        <v>0</v>
      </c>
      <c r="P153" s="993">
        <f t="shared" si="32"/>
        <v>0</v>
      </c>
      <c r="Q153" s="993">
        <f t="shared" si="33"/>
        <v>0</v>
      </c>
      <c r="R153" s="993">
        <f t="shared" si="34"/>
        <v>0</v>
      </c>
      <c r="S153" s="993">
        <f t="shared" si="35"/>
        <v>0</v>
      </c>
      <c r="T153" s="993">
        <f t="shared" si="36"/>
        <v>0</v>
      </c>
      <c r="U153" s="993">
        <f t="shared" si="37"/>
        <v>0</v>
      </c>
      <c r="V153" s="993">
        <f t="shared" si="38"/>
        <v>0</v>
      </c>
      <c r="W153" s="993">
        <f t="shared" si="39"/>
        <v>0</v>
      </c>
      <c r="X153" s="993">
        <f t="shared" si="40"/>
        <v>0</v>
      </c>
      <c r="Y153" s="1830"/>
    </row>
    <row r="154" spans="1:25" s="1116" customFormat="1">
      <c r="A154" s="1156" t="str">
        <f t="shared" si="29"/>
        <v>F-04.04.1_130</v>
      </c>
      <c r="B154" s="362">
        <v>130</v>
      </c>
      <c r="C154" s="1352" t="s">
        <v>128</v>
      </c>
      <c r="D154" s="211" t="s">
        <v>1717</v>
      </c>
      <c r="E154" s="861">
        <f t="shared" si="30"/>
        <v>0</v>
      </c>
      <c r="F154" s="890"/>
      <c r="G154" s="890"/>
      <c r="H154" s="890"/>
      <c r="I154" s="890"/>
      <c r="J154" s="949"/>
      <c r="K154" s="949"/>
      <c r="L154" s="949"/>
      <c r="M154" s="949"/>
      <c r="N154" s="949"/>
      <c r="O154" s="993">
        <f t="shared" si="31"/>
        <v>0</v>
      </c>
      <c r="P154" s="993">
        <f t="shared" si="32"/>
        <v>0</v>
      </c>
      <c r="Q154" s="993">
        <f t="shared" si="33"/>
        <v>0</v>
      </c>
      <c r="R154" s="993">
        <f t="shared" si="34"/>
        <v>0</v>
      </c>
      <c r="S154" s="993">
        <f t="shared" si="35"/>
        <v>0</v>
      </c>
      <c r="T154" s="993">
        <f t="shared" si="36"/>
        <v>0</v>
      </c>
      <c r="U154" s="993">
        <f t="shared" si="37"/>
        <v>0</v>
      </c>
      <c r="V154" s="993">
        <f t="shared" si="38"/>
        <v>0</v>
      </c>
      <c r="W154" s="993">
        <f t="shared" si="39"/>
        <v>0</v>
      </c>
      <c r="X154" s="993">
        <f t="shared" si="40"/>
        <v>0</v>
      </c>
      <c r="Y154" s="1830"/>
    </row>
    <row r="155" spans="1:25" s="1116" customFormat="1" ht="21">
      <c r="A155" s="1156" t="str">
        <f t="shared" si="29"/>
        <v>F-04.04.1_140</v>
      </c>
      <c r="B155" s="375">
        <v>140</v>
      </c>
      <c r="C155" s="176" t="s">
        <v>2038</v>
      </c>
      <c r="D155" s="337" t="s">
        <v>1573</v>
      </c>
      <c r="E155" s="1092">
        <f>SUM(F155,H155:L155)</f>
        <v>0</v>
      </c>
      <c r="F155" s="861">
        <f t="shared" ref="F155:N155" si="42">SUM(F$142,F$148)</f>
        <v>0</v>
      </c>
      <c r="G155" s="861">
        <f t="shared" si="42"/>
        <v>0</v>
      </c>
      <c r="H155" s="861">
        <f t="shared" si="42"/>
        <v>0</v>
      </c>
      <c r="I155" s="861">
        <f t="shared" si="42"/>
        <v>0</v>
      </c>
      <c r="J155" s="861">
        <f t="shared" si="42"/>
        <v>0</v>
      </c>
      <c r="K155" s="861">
        <f t="shared" si="42"/>
        <v>0</v>
      </c>
      <c r="L155" s="861">
        <f t="shared" si="42"/>
        <v>0</v>
      </c>
      <c r="M155" s="861">
        <f t="shared" si="42"/>
        <v>0</v>
      </c>
      <c r="N155" s="861">
        <f t="shared" si="42"/>
        <v>0</v>
      </c>
      <c r="O155" s="993">
        <f t="shared" si="31"/>
        <v>0</v>
      </c>
      <c r="P155" s="993">
        <f t="shared" si="32"/>
        <v>0</v>
      </c>
      <c r="Q155" s="993">
        <f t="shared" si="33"/>
        <v>0</v>
      </c>
      <c r="R155" s="993">
        <f t="shared" si="34"/>
        <v>0</v>
      </c>
      <c r="S155" s="993">
        <f t="shared" si="35"/>
        <v>0</v>
      </c>
      <c r="T155" s="993">
        <f t="shared" si="36"/>
        <v>0</v>
      </c>
      <c r="U155" s="993">
        <f t="shared" si="37"/>
        <v>0</v>
      </c>
      <c r="V155" s="993">
        <f t="shared" si="38"/>
        <v>0</v>
      </c>
      <c r="W155" s="993">
        <f t="shared" si="39"/>
        <v>0</v>
      </c>
      <c r="X155" s="993">
        <f t="shared" si="40"/>
        <v>0</v>
      </c>
      <c r="Y155" s="1476">
        <f>IF('20'!$G$8="N",0,IF($E155='20'!$E35+'20'!$F35,0,"{F 04.04.1, r140, c010} = +{F 20.01, r181, c010} + {F 20.01, r181, c020}"))</f>
        <v>0</v>
      </c>
    </row>
    <row r="156" spans="1:25" s="1116" customFormat="1" ht="31.5">
      <c r="A156" s="1156" t="str">
        <f t="shared" si="29"/>
        <v>F-04.04.1_150</v>
      </c>
      <c r="B156" s="375">
        <v>150</v>
      </c>
      <c r="C156" s="1605" t="s">
        <v>2031</v>
      </c>
      <c r="D156" s="337" t="s">
        <v>2039</v>
      </c>
      <c r="E156" s="1646"/>
      <c r="F156" s="1646"/>
      <c r="G156" s="1646"/>
      <c r="H156" s="1646"/>
      <c r="I156" s="1646"/>
      <c r="J156" s="1177"/>
      <c r="K156" s="1177"/>
      <c r="L156" s="1177"/>
      <c r="M156" s="1177"/>
      <c r="N156" s="1177"/>
      <c r="O156" s="993">
        <f t="shared" si="31"/>
        <v>0</v>
      </c>
      <c r="P156" s="993">
        <f t="shared" si="32"/>
        <v>0</v>
      </c>
      <c r="Q156" s="993">
        <f t="shared" si="33"/>
        <v>0</v>
      </c>
      <c r="R156" s="993">
        <f t="shared" si="34"/>
        <v>0</v>
      </c>
      <c r="S156" s="993">
        <f t="shared" si="35"/>
        <v>0</v>
      </c>
      <c r="T156" s="993">
        <f t="shared" si="36"/>
        <v>0</v>
      </c>
      <c r="U156" s="993">
        <f t="shared" si="37"/>
        <v>0</v>
      </c>
      <c r="V156" s="993">
        <f t="shared" si="38"/>
        <v>0</v>
      </c>
      <c r="W156" s="993">
        <f t="shared" si="39"/>
        <v>0</v>
      </c>
      <c r="X156" s="993">
        <f t="shared" si="40"/>
        <v>0</v>
      </c>
    </row>
    <row r="157" spans="1:25" s="1116" customFormat="1">
      <c r="A157" s="1100" t="s">
        <v>718</v>
      </c>
      <c r="B157" s="1"/>
      <c r="E157" s="1648">
        <f>IF(E$155&gt;=E$156,0,"r140&gt;=r150")</f>
        <v>0</v>
      </c>
      <c r="F157" s="1648">
        <f>IF(F$155&gt;=F$156,0,"r140&gt;=r150")</f>
        <v>0</v>
      </c>
      <c r="G157" s="1648">
        <f>IF(G$155&gt;=G$156,0,"r140&gt;=r150")</f>
        <v>0</v>
      </c>
      <c r="H157" s="1648">
        <f>IF(H$155&gt;=H$156,0,"r140&gt;=r150")</f>
        <v>0</v>
      </c>
      <c r="I157" s="1648">
        <f>IF(I$155&gt;=I$156,0,"r140&gt;=r150")</f>
        <v>0</v>
      </c>
      <c r="J157" s="1648">
        <f>IF(J$155&lt;=J$156,0,"r140&lt;=r150")</f>
        <v>0</v>
      </c>
      <c r="K157" s="1648">
        <f>IF(K$155&lt;=K$156,0,"r140&lt;=r150")</f>
        <v>0</v>
      </c>
      <c r="L157" s="1648">
        <f>IF(L$155&lt;=L$156,0,"r140&lt;=r150")</f>
        <v>0</v>
      </c>
      <c r="M157" s="1648">
        <f>IF(M$155&lt;=M$156,0,"r140&lt;=r150")</f>
        <v>0</v>
      </c>
      <c r="N157" s="1648">
        <f>IF(N$155&lt;=N$156,0,"r140&lt;=r150")</f>
        <v>0</v>
      </c>
    </row>
    <row r="158" spans="1:25" s="1116" customFormat="1">
      <c r="A158" s="1100" t="s">
        <v>718</v>
      </c>
      <c r="B158" s="1"/>
    </row>
    <row r="159" spans="1:25">
      <c r="A159" s="1156" t="s">
        <v>724</v>
      </c>
      <c r="B159" s="252"/>
      <c r="E159" s="867"/>
      <c r="F159" s="867"/>
      <c r="G159" s="870"/>
      <c r="H159" s="870"/>
      <c r="I159" s="870"/>
      <c r="J159" s="870"/>
      <c r="K159" s="829"/>
      <c r="L159" s="829"/>
      <c r="M159" s="829"/>
      <c r="N159" s="829"/>
      <c r="O159" s="829"/>
      <c r="P159" s="829"/>
      <c r="Q159" s="829"/>
      <c r="R159" s="873"/>
    </row>
    <row r="160" spans="1:25" s="1097" customFormat="1" ht="18" hidden="1" customHeight="1">
      <c r="A160" s="1096" t="s">
        <v>1237</v>
      </c>
      <c r="B160" s="1118">
        <v>2</v>
      </c>
      <c r="C160" s="1118">
        <v>1</v>
      </c>
      <c r="D160" s="1119">
        <v>11</v>
      </c>
      <c r="E160" s="1182">
        <v>5</v>
      </c>
      <c r="F160" s="1120">
        <v>3</v>
      </c>
      <c r="G160" s="1121">
        <v>4</v>
      </c>
      <c r="H160" s="1122">
        <v>4</v>
      </c>
      <c r="I160" s="1122">
        <v>4</v>
      </c>
      <c r="J160" s="1123">
        <v>4</v>
      </c>
      <c r="K160" s="1123">
        <v>5</v>
      </c>
      <c r="L160" s="1124">
        <v>4</v>
      </c>
      <c r="M160" s="1124">
        <v>6</v>
      </c>
      <c r="N160" s="1125">
        <v>4</v>
      </c>
      <c r="O160" s="1125">
        <v>7</v>
      </c>
    </row>
    <row r="161" spans="1:18" s="1097" customFormat="1" ht="18" hidden="1" customHeight="1">
      <c r="A161" s="1096" t="str">
        <f>Index!$A$2</f>
        <v>V20181222</v>
      </c>
      <c r="B161" s="1098"/>
      <c r="C161" s="1099"/>
      <c r="D161" s="1100"/>
      <c r="E161" s="1100" t="str">
        <f>$A$160&amp;"_"&amp;E170</f>
        <v>F-04.05_010</v>
      </c>
      <c r="F161" s="1100"/>
      <c r="G161" s="1100"/>
      <c r="H161" s="1100"/>
      <c r="I161" s="1100"/>
      <c r="J161" s="1100"/>
      <c r="K161" s="1100"/>
      <c r="L161" s="1100"/>
      <c r="M161" s="1100"/>
      <c r="N161" s="1101"/>
    </row>
    <row r="162" spans="1:18" s="1097" customFormat="1" ht="18" hidden="1" customHeight="1">
      <c r="A162" s="1096" t="str">
        <f>"R:A1:P"&amp;ROW(A318)+1</f>
        <v>R:A1:P319</v>
      </c>
      <c r="B162" s="1102"/>
      <c r="C162" s="1103"/>
      <c r="D162" s="1104"/>
      <c r="E162" s="1105"/>
      <c r="F162" s="1106"/>
      <c r="G162" s="1107"/>
      <c r="H162" s="1107"/>
      <c r="I162" s="1107"/>
      <c r="J162" s="1107"/>
      <c r="K162" s="1107"/>
    </row>
    <row r="163" spans="1:18" s="1097" customFormat="1" ht="18" hidden="1" customHeight="1">
      <c r="A163" s="1096"/>
      <c r="B163" s="1102"/>
      <c r="C163" s="1103"/>
      <c r="D163" s="1108"/>
      <c r="E163" s="1109"/>
      <c r="F163" s="1110"/>
      <c r="G163" s="1111">
        <f>N164</f>
        <v>0</v>
      </c>
      <c r="H163" s="1107"/>
      <c r="I163" s="1107"/>
      <c r="J163" s="1107"/>
      <c r="K163" s="1107"/>
    </row>
    <row r="164" spans="1:18" s="1097" customFormat="1" ht="18" hidden="1" customHeight="1">
      <c r="A164" s="1096"/>
      <c r="B164" s="1102"/>
      <c r="C164" s="1103"/>
      <c r="D164" s="1112"/>
      <c r="E164" s="1113"/>
      <c r="F164" s="1114"/>
      <c r="N164" s="1097">
        <f>COUNTIF(B174:E175,"&lt;&gt;0")-COUNTBLANK(B174:E175)+COUNTIF(F170:F173,"&lt;&gt;0")-COUNTBLANK(F170:F173)</f>
        <v>0</v>
      </c>
    </row>
    <row r="165" spans="1:18" s="1116" customFormat="1">
      <c r="A165" s="1100" t="s">
        <v>718</v>
      </c>
      <c r="B165" s="1115"/>
    </row>
    <row r="166" spans="1:18" s="62" customFormat="1">
      <c r="A166" s="1100" t="s">
        <v>718</v>
      </c>
      <c r="B166" s="273" t="s">
        <v>564</v>
      </c>
      <c r="D166" s="868"/>
      <c r="E166" s="869"/>
      <c r="F166" s="869"/>
      <c r="G166" s="869"/>
      <c r="H166" s="869"/>
      <c r="I166" s="869"/>
      <c r="J166" s="868"/>
      <c r="K166" s="878"/>
      <c r="L166" s="878"/>
      <c r="M166" s="878"/>
      <c r="N166" s="878"/>
      <c r="O166" s="878"/>
      <c r="P166" s="878"/>
      <c r="Q166" s="878"/>
      <c r="R166" s="878"/>
    </row>
    <row r="167" spans="1:18" s="62" customFormat="1">
      <c r="A167" s="1100"/>
      <c r="C167" s="102"/>
      <c r="D167" s="203"/>
      <c r="E167" s="869"/>
      <c r="F167" s="869"/>
      <c r="G167" s="869"/>
      <c r="H167" s="869"/>
      <c r="I167" s="869"/>
      <c r="J167" s="868"/>
    </row>
    <row r="168" spans="1:18" s="62" customFormat="1" ht="21">
      <c r="A168" s="1100"/>
      <c r="B168" s="402"/>
      <c r="C168" s="403"/>
      <c r="D168" s="1992" t="s">
        <v>551</v>
      </c>
      <c r="E168" s="1488" t="s">
        <v>57</v>
      </c>
      <c r="F168" s="869"/>
      <c r="G168" s="869"/>
      <c r="H168" s="869"/>
      <c r="I168" s="869"/>
      <c r="J168" s="869"/>
    </row>
    <row r="169" spans="1:18" s="62" customFormat="1" ht="21">
      <c r="A169" s="1100"/>
      <c r="B169" s="493"/>
      <c r="C169" s="1606"/>
      <c r="D169" s="1993"/>
      <c r="E169" s="579" t="s">
        <v>604</v>
      </c>
      <c r="F169" s="869"/>
      <c r="G169" s="869"/>
      <c r="H169" s="869"/>
      <c r="I169" s="869"/>
      <c r="J169" s="869"/>
    </row>
    <row r="170" spans="1:18" s="62" customFormat="1">
      <c r="A170" s="1100" t="s">
        <v>718</v>
      </c>
      <c r="B170" s="405"/>
      <c r="C170" s="406"/>
      <c r="D170" s="2004"/>
      <c r="E170" s="1589" t="s">
        <v>292</v>
      </c>
      <c r="G170" s="297"/>
      <c r="H170" s="869"/>
      <c r="I170" s="868"/>
      <c r="J170" s="869"/>
    </row>
    <row r="171" spans="1:18" s="62" customFormat="1">
      <c r="A171" s="1156" t="str">
        <f>$A$160&amp;"_"&amp;B171</f>
        <v>F-04.05_010</v>
      </c>
      <c r="B171" s="296" t="s">
        <v>292</v>
      </c>
      <c r="C171" s="157" t="s">
        <v>61</v>
      </c>
      <c r="D171" s="14" t="s">
        <v>1576</v>
      </c>
      <c r="E171" s="895"/>
      <c r="F171" s="830">
        <f>IF($E$171&gt;=0,0,"F4.05,c10&gt;=0")</f>
        <v>0</v>
      </c>
      <c r="G171" s="879"/>
      <c r="H171" s="869"/>
      <c r="I171" s="868"/>
      <c r="J171" s="869"/>
    </row>
    <row r="172" spans="1:18" s="62" customFormat="1">
      <c r="A172" s="1156" t="str">
        <f>$A$160&amp;"_"&amp;B172</f>
        <v>F-04.05_020</v>
      </c>
      <c r="B172" s="296" t="s">
        <v>293</v>
      </c>
      <c r="C172" s="157" t="s">
        <v>55</v>
      </c>
      <c r="D172" s="14" t="s">
        <v>595</v>
      </c>
      <c r="E172" s="895"/>
      <c r="F172" s="830">
        <f>IF($E$172&gt;=0,0,"F4.05,c10&gt;=0")</f>
        <v>0</v>
      </c>
      <c r="G172" s="879"/>
      <c r="H172" s="869"/>
      <c r="I172" s="868"/>
      <c r="J172" s="869"/>
    </row>
    <row r="173" spans="1:18" s="62" customFormat="1" ht="21">
      <c r="A173" s="1156" t="str">
        <f>$A$160&amp;"_"&amp;B173</f>
        <v>F-04.05_030</v>
      </c>
      <c r="B173" s="296" t="s">
        <v>294</v>
      </c>
      <c r="C173" s="157" t="s">
        <v>462</v>
      </c>
      <c r="D173" s="337" t="s">
        <v>2040</v>
      </c>
      <c r="E173" s="871">
        <f>SUM($E$171:$E$172)</f>
        <v>0</v>
      </c>
      <c r="F173" s="830">
        <f>IF($E$173&gt;=0,0,"F4.05,c10&gt;=0")</f>
        <v>0</v>
      </c>
      <c r="G173" s="879"/>
      <c r="H173" s="869"/>
      <c r="I173" s="869"/>
      <c r="J173" s="868"/>
    </row>
    <row r="174" spans="1:18" s="62" customFormat="1">
      <c r="A174" s="1156" t="s">
        <v>724</v>
      </c>
      <c r="B174"/>
      <c r="C174" s="1988">
        <f>IF($E$173&lt;=SUM('1.1'!F16,'1.1'!F17,'1.1'!F21,'1.1'!F22,'1.1'!F25,'1.1'!F26,'1.1'!F28,'1.1'!F29,'1.1'!F32,'1.1'!F33,'1.1'!F35,'1.1'!F36),0,"{F 04.05, r030, c010} &lt;= sum({F 01.01, c010, (r030, r040, r080, r090, r098, r099, r120, r130, r143, r144, r182, r183)})")</f>
        <v>0</v>
      </c>
      <c r="D174" s="1988"/>
      <c r="E174" s="1988"/>
      <c r="F174" s="1988"/>
      <c r="G174" s="297"/>
      <c r="H174" s="869"/>
      <c r="I174" s="869"/>
      <c r="J174" s="868"/>
    </row>
    <row r="175" spans="1:18" s="62" customFormat="1">
      <c r="A175" s="1156"/>
      <c r="B175"/>
      <c r="C175"/>
      <c r="D175"/>
      <c r="E175" s="872"/>
      <c r="F175" s="869"/>
      <c r="G175" s="869"/>
      <c r="H175" s="869"/>
      <c r="I175" s="869"/>
      <c r="J175" s="868"/>
    </row>
  </sheetData>
  <sheetProtection password="C2F4" sheet="1" objects="1" scenarios="1"/>
  <mergeCells count="32">
    <mergeCell ref="E11:E12"/>
    <mergeCell ref="C174:F174"/>
    <mergeCell ref="D11:D14"/>
    <mergeCell ref="D73:D75"/>
    <mergeCell ref="D43:D45"/>
    <mergeCell ref="B99:C103"/>
    <mergeCell ref="D99:D103"/>
    <mergeCell ref="E99:E101"/>
    <mergeCell ref="F99:I99"/>
    <mergeCell ref="B137:C141"/>
    <mergeCell ref="D137:D141"/>
    <mergeCell ref="E137:E139"/>
    <mergeCell ref="F137:I137"/>
    <mergeCell ref="D168:D170"/>
    <mergeCell ref="J99:L99"/>
    <mergeCell ref="M99:M101"/>
    <mergeCell ref="N99:N101"/>
    <mergeCell ref="F100:F101"/>
    <mergeCell ref="H100:H101"/>
    <mergeCell ref="I100:I101"/>
    <mergeCell ref="J100:J101"/>
    <mergeCell ref="K100:K101"/>
    <mergeCell ref="L100:L101"/>
    <mergeCell ref="J137:L137"/>
    <mergeCell ref="M137:M139"/>
    <mergeCell ref="N137:N139"/>
    <mergeCell ref="F138:F139"/>
    <mergeCell ref="H138:H139"/>
    <mergeCell ref="I138:I139"/>
    <mergeCell ref="J138:J139"/>
    <mergeCell ref="K138:K139"/>
    <mergeCell ref="L138:L139"/>
  </mergeCells>
  <dataValidations count="3">
    <dataValidation type="whole" allowBlank="1" showInputMessage="1" showErrorMessage="1" error="wrong number format or sign" sqref="E171:E173 E156:I156 E46:E63 E15:E33 F143:I147 F149:I154">
      <formula1>0</formula1>
      <formula2>99999999</formula2>
    </dataValidation>
    <dataValidation type="whole" allowBlank="1" showInputMessage="1" showErrorMessage="1" error="wrong number format or sign_x000a_" sqref="F76 F82 F89 E108:N108 E114:N114 E121:N121 E104:E107 E76:E89 E109:I113 E122:I122 E142:N142 E148:N148 E143:E147 E149:E155 F155:N155 E115:I120">
      <formula1>0</formula1>
      <formula2>99999999</formula2>
    </dataValidation>
    <dataValidation type="whole" allowBlank="1" showInputMessage="1" showErrorMessage="1" error="wrong number format or sign" sqref="F50:F63 F77:F81 F83:F88 J109:N113 J115:N120 J122:N122 J143:N147 J149:N154 J156:N156">
      <formula1>-99999999</formula1>
      <formula2>0</formula2>
    </dataValidation>
  </dataValidations>
  <printOptions horizontalCentered="1" headings="1" gridLines="1"/>
  <pageMargins left="0.2" right="0.23622047244094491" top="0.3" bottom="0.24" header="0.17" footer="0.17"/>
  <pageSetup paperSize="9" scale="50" orientation="landscape" cellComments="asDisplayed" r:id="rId1"/>
  <headerFooter scaleWithDoc="0" alignWithMargins="0"/>
  <rowBreaks count="2" manualBreakCount="2">
    <brk id="70" max="25" man="1"/>
    <brk id="124" max="25" man="1"/>
  </rowBreaks>
  <ignoredErrors>
    <ignoredError sqref="B16 B171:B173 B17:B3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R51"/>
  <sheetViews>
    <sheetView topLeftCell="B6" zoomScaleNormal="100" zoomScaleSheetLayoutView="100" workbookViewId="0">
      <selection activeCell="B6" sqref="B6"/>
    </sheetView>
  </sheetViews>
  <sheetFormatPr defaultColWidth="45.28515625" defaultRowHeight="12.75"/>
  <cols>
    <col min="1" max="1" width="13.5703125" style="1156" hidden="1" customWidth="1"/>
    <col min="2" max="2" width="14.28515625" style="32" bestFit="1" customWidth="1"/>
    <col min="3" max="3" width="4.42578125" style="171" customWidth="1"/>
    <col min="4" max="4" width="51.5703125" style="174" customWidth="1"/>
    <col min="5" max="5" width="22.42578125" style="32" bestFit="1" customWidth="1"/>
    <col min="6" max="7" width="16.5703125" style="32" customWidth="1"/>
    <col min="8" max="8" width="16.85546875" style="32" customWidth="1"/>
    <col min="9" max="10" width="16.7109375" style="32" customWidth="1"/>
    <col min="11" max="11" width="16.5703125" style="32" customWidth="1"/>
    <col min="12" max="12" width="16.7109375" style="32" customWidth="1"/>
    <col min="13" max="18" width="42.7109375" style="32" customWidth="1"/>
    <col min="19" max="256" width="9.140625" style="32" customWidth="1"/>
    <col min="257" max="16384" width="45.28515625" style="32"/>
  </cols>
  <sheetData>
    <row r="1" spans="1:15" s="1097" customFormat="1" ht="18" hidden="1" customHeight="1">
      <c r="A1" s="1096" t="s">
        <v>2202</v>
      </c>
      <c r="B1" s="1118">
        <v>2</v>
      </c>
      <c r="C1" s="1118">
        <v>1</v>
      </c>
      <c r="D1" s="1119">
        <v>15</v>
      </c>
      <c r="E1" s="1182">
        <v>6</v>
      </c>
      <c r="F1" s="1120">
        <v>3</v>
      </c>
      <c r="G1" s="1121">
        <v>4</v>
      </c>
      <c r="H1" s="1122">
        <v>4</v>
      </c>
      <c r="I1" s="1122">
        <v>4</v>
      </c>
      <c r="J1" s="1123">
        <v>4</v>
      </c>
      <c r="K1" s="1123">
        <v>5</v>
      </c>
      <c r="L1" s="1124">
        <v>4</v>
      </c>
      <c r="M1" s="1124">
        <v>6</v>
      </c>
      <c r="N1" s="1125">
        <v>4</v>
      </c>
      <c r="O1" s="1125">
        <v>7</v>
      </c>
    </row>
    <row r="2" spans="1:15" s="1097" customFormat="1" ht="18" hidden="1" customHeight="1">
      <c r="A2" s="1096" t="str">
        <f>Index!$A$2</f>
        <v>V20181222</v>
      </c>
      <c r="B2" s="1098"/>
      <c r="C2" s="1099"/>
      <c r="D2" s="1100"/>
      <c r="E2" s="1100"/>
      <c r="F2" s="1100" t="str">
        <f t="shared" ref="F2:L2" si="0">$A$1&amp;"_"&amp;F14</f>
        <v>F-05.01_005</v>
      </c>
      <c r="G2" s="1100" t="str">
        <f t="shared" si="0"/>
        <v>F-05.01_010</v>
      </c>
      <c r="H2" s="1100" t="str">
        <f t="shared" si="0"/>
        <v>F-05.01_020</v>
      </c>
      <c r="I2" s="1100" t="str">
        <f t="shared" si="0"/>
        <v>F-05.01_030</v>
      </c>
      <c r="J2" s="1100" t="str">
        <f t="shared" si="0"/>
        <v>F-05.01_040</v>
      </c>
      <c r="K2" s="1100" t="str">
        <f t="shared" si="0"/>
        <v>F-05.01_050</v>
      </c>
      <c r="L2" s="1100" t="str">
        <f t="shared" si="0"/>
        <v>F-05.01_060</v>
      </c>
      <c r="M2" s="1100"/>
      <c r="N2" s="1100"/>
      <c r="O2" s="1101"/>
    </row>
    <row r="3" spans="1:15" s="1097" customFormat="1" ht="18" hidden="1" customHeight="1">
      <c r="A3" s="1096" t="str">
        <f>"R:A1:P"&amp;ROW(A46)+1</f>
        <v>R:A1:P47</v>
      </c>
      <c r="B3" s="1102"/>
      <c r="C3" s="1103"/>
      <c r="D3" s="1104"/>
      <c r="E3" s="1105"/>
      <c r="F3" s="1105"/>
      <c r="G3" s="1106"/>
      <c r="H3" s="1107"/>
      <c r="I3" s="1107"/>
      <c r="J3" s="1107"/>
      <c r="K3" s="1107"/>
      <c r="L3" s="1107"/>
    </row>
    <row r="4" spans="1:15" s="1097" customFormat="1" ht="18" hidden="1" customHeight="1">
      <c r="A4" s="1096"/>
      <c r="B4" s="1102"/>
      <c r="C4" s="1103"/>
      <c r="D4" s="1108"/>
      <c r="E4" s="1109"/>
      <c r="F4" s="1110"/>
      <c r="G4" s="1111">
        <f>O5</f>
        <v>0</v>
      </c>
      <c r="H4" s="1107"/>
      <c r="I4" s="1107"/>
      <c r="J4" s="1107"/>
      <c r="K4" s="1107"/>
    </row>
    <row r="5" spans="1:15" s="1097" customFormat="1" ht="18" hidden="1" customHeight="1">
      <c r="A5" s="1100" t="s">
        <v>718</v>
      </c>
      <c r="B5" s="1102"/>
      <c r="C5" s="1103"/>
      <c r="D5" s="1112"/>
      <c r="E5" s="1113"/>
      <c r="F5" s="1113"/>
      <c r="G5" s="1114"/>
      <c r="O5" s="1097">
        <f>COUNTIF(B28:L51,"&lt;&gt;0")-COUNTBLANK(B28:L51)+COUNTIF(M22:R22,"&lt;&gt;0")-COUNTBLANK(M22:R22)</f>
        <v>0</v>
      </c>
    </row>
    <row r="6" spans="1:15" s="1116" customFormat="1">
      <c r="A6" s="1100" t="s">
        <v>718</v>
      </c>
      <c r="B6" s="1115"/>
    </row>
    <row r="7" spans="1:15">
      <c r="A7" s="1100" t="s">
        <v>718</v>
      </c>
      <c r="B7" s="172" t="s">
        <v>2004</v>
      </c>
    </row>
    <row r="8" spans="1:15">
      <c r="A8" s="1100"/>
      <c r="B8" s="172"/>
    </row>
    <row r="9" spans="1:15">
      <c r="A9" s="1100"/>
      <c r="B9" s="60" t="s">
        <v>2005</v>
      </c>
    </row>
    <row r="10" spans="1:15">
      <c r="A10" s="1100" t="s">
        <v>718</v>
      </c>
    </row>
    <row r="11" spans="1:15" s="34" customFormat="1" ht="31.5" customHeight="1">
      <c r="A11" s="1100" t="s">
        <v>718</v>
      </c>
      <c r="B11" s="595"/>
      <c r="C11" s="419"/>
      <c r="D11" s="600"/>
      <c r="E11" s="420"/>
      <c r="F11" s="2006" t="s">
        <v>181</v>
      </c>
      <c r="G11" s="2008" t="s">
        <v>1559</v>
      </c>
      <c r="H11" s="2009"/>
      <c r="I11" s="2009"/>
      <c r="J11" s="2009"/>
      <c r="K11" s="2009"/>
      <c r="L11" s="2010"/>
    </row>
    <row r="12" spans="1:15" s="34" customFormat="1" ht="21">
      <c r="A12" s="1100" t="s">
        <v>718</v>
      </c>
      <c r="C12" s="422"/>
      <c r="D12" s="423"/>
      <c r="E12" s="424" t="s">
        <v>551</v>
      </c>
      <c r="F12" s="2007"/>
      <c r="G12" s="421" t="s">
        <v>99</v>
      </c>
      <c r="H12" s="421" t="s">
        <v>100</v>
      </c>
      <c r="I12" s="421" t="s">
        <v>101</v>
      </c>
      <c r="J12" s="421" t="s">
        <v>102</v>
      </c>
      <c r="K12" s="421" t="s">
        <v>127</v>
      </c>
      <c r="L12" s="421" t="s">
        <v>128</v>
      </c>
    </row>
    <row r="13" spans="1:15" s="34" customFormat="1" ht="21">
      <c r="A13" s="1100"/>
      <c r="C13" s="422"/>
      <c r="D13" s="423"/>
      <c r="E13" s="424"/>
      <c r="F13" s="1717" t="s">
        <v>2000</v>
      </c>
      <c r="G13" s="425" t="s">
        <v>1713</v>
      </c>
      <c r="H13" s="425" t="s">
        <v>1714</v>
      </c>
      <c r="I13" s="425" t="s">
        <v>1709</v>
      </c>
      <c r="J13" s="425" t="s">
        <v>1710</v>
      </c>
      <c r="K13" s="425" t="s">
        <v>1711</v>
      </c>
      <c r="L13" s="425" t="s">
        <v>1717</v>
      </c>
    </row>
    <row r="14" spans="1:15" s="34" customFormat="1">
      <c r="A14" s="1100" t="s">
        <v>718</v>
      </c>
      <c r="C14" s="426"/>
      <c r="D14" s="427"/>
      <c r="E14" s="428"/>
      <c r="F14" s="1589" t="s">
        <v>2007</v>
      </c>
      <c r="G14" s="429" t="s">
        <v>292</v>
      </c>
      <c r="H14" s="429" t="s">
        <v>293</v>
      </c>
      <c r="I14" s="429" t="s">
        <v>294</v>
      </c>
      <c r="J14" s="429" t="s">
        <v>295</v>
      </c>
      <c r="K14" s="429" t="s">
        <v>296</v>
      </c>
      <c r="L14" s="429" t="s">
        <v>297</v>
      </c>
    </row>
    <row r="15" spans="1:15">
      <c r="A15" s="1156" t="str">
        <f>$A$1&amp;"_"&amp;C15</f>
        <v>F-05.01_010</v>
      </c>
      <c r="B15" s="407" t="s">
        <v>386</v>
      </c>
      <c r="C15" s="412" t="s">
        <v>292</v>
      </c>
      <c r="D15" s="156" t="s">
        <v>106</v>
      </c>
      <c r="E15" s="263" t="s">
        <v>1978</v>
      </c>
      <c r="F15" s="896"/>
      <c r="G15" s="896"/>
      <c r="H15" s="896"/>
      <c r="I15" s="896"/>
      <c r="J15" s="896"/>
      <c r="K15" s="896"/>
      <c r="L15" s="896"/>
    </row>
    <row r="16" spans="1:15">
      <c r="A16" s="1156" t="str">
        <f t="shared" ref="A16:A27" si="1">$A$1&amp;"_"&amp;C16</f>
        <v>F-05.01_020</v>
      </c>
      <c r="B16" s="408"/>
      <c r="C16" s="413" t="s">
        <v>293</v>
      </c>
      <c r="D16" s="192" t="s">
        <v>384</v>
      </c>
      <c r="E16" s="160" t="s">
        <v>1979</v>
      </c>
      <c r="F16" s="897"/>
      <c r="G16" s="897"/>
      <c r="H16" s="897"/>
      <c r="I16" s="897"/>
      <c r="J16" s="897"/>
      <c r="K16" s="897"/>
      <c r="L16" s="897"/>
    </row>
    <row r="17" spans="1:18">
      <c r="A17" s="1156" t="str">
        <f t="shared" si="1"/>
        <v>F-05.01_030</v>
      </c>
      <c r="B17" s="408"/>
      <c r="C17" s="414" t="s">
        <v>294</v>
      </c>
      <c r="D17" s="274" t="s">
        <v>108</v>
      </c>
      <c r="E17" s="160" t="s">
        <v>1980</v>
      </c>
      <c r="F17" s="898"/>
      <c r="G17" s="704"/>
      <c r="H17" s="898"/>
      <c r="I17" s="898"/>
      <c r="J17" s="898"/>
      <c r="K17" s="898"/>
      <c r="L17" s="898"/>
    </row>
    <row r="18" spans="1:18">
      <c r="A18" s="1156" t="str">
        <f t="shared" si="1"/>
        <v>F-05.01_040</v>
      </c>
      <c r="B18" s="408"/>
      <c r="C18" s="414" t="s">
        <v>295</v>
      </c>
      <c r="D18" s="274" t="s">
        <v>109</v>
      </c>
      <c r="E18" s="160" t="s">
        <v>1981</v>
      </c>
      <c r="F18" s="898"/>
      <c r="G18" s="898"/>
      <c r="H18" s="898"/>
      <c r="I18" s="898"/>
      <c r="J18" s="898"/>
      <c r="K18" s="898"/>
      <c r="L18" s="898"/>
    </row>
    <row r="19" spans="1:18">
      <c r="A19" s="1156" t="str">
        <f t="shared" si="1"/>
        <v>F-05.01_050</v>
      </c>
      <c r="B19" s="408"/>
      <c r="C19" s="414" t="s">
        <v>296</v>
      </c>
      <c r="D19" s="274" t="s">
        <v>110</v>
      </c>
      <c r="E19" s="160" t="s">
        <v>1982</v>
      </c>
      <c r="F19" s="898"/>
      <c r="G19" s="898"/>
      <c r="H19" s="898"/>
      <c r="I19" s="898"/>
      <c r="J19" s="898"/>
      <c r="K19" s="898"/>
      <c r="L19" s="898"/>
    </row>
    <row r="20" spans="1:18" s="37" customFormat="1">
      <c r="A20" s="1156" t="str">
        <f t="shared" si="1"/>
        <v>F-05.01_060</v>
      </c>
      <c r="B20" s="408"/>
      <c r="C20" s="414" t="s">
        <v>297</v>
      </c>
      <c r="D20" s="274" t="s">
        <v>111</v>
      </c>
      <c r="E20" s="160" t="s">
        <v>1983</v>
      </c>
      <c r="F20" s="898"/>
      <c r="G20" s="898"/>
      <c r="H20" s="898"/>
      <c r="I20" s="898"/>
      <c r="J20" s="898"/>
      <c r="K20" s="898"/>
      <c r="L20" s="898"/>
    </row>
    <row r="21" spans="1:18">
      <c r="A21" s="1156" t="str">
        <f t="shared" si="1"/>
        <v>F-05.01_070</v>
      </c>
      <c r="B21" s="408"/>
      <c r="C21" s="415" t="s">
        <v>298</v>
      </c>
      <c r="D21" s="240" t="s">
        <v>439</v>
      </c>
      <c r="E21" s="160" t="s">
        <v>1984</v>
      </c>
      <c r="F21" s="899"/>
      <c r="G21" s="899"/>
      <c r="H21" s="899"/>
      <c r="I21" s="899"/>
      <c r="J21" s="899"/>
      <c r="K21" s="899"/>
      <c r="L21" s="899"/>
    </row>
    <row r="22" spans="1:18" ht="38.25" customHeight="1">
      <c r="A22" s="1156" t="str">
        <f t="shared" si="1"/>
        <v>F-05.01_080</v>
      </c>
      <c r="B22" s="409"/>
      <c r="C22" s="416" t="s">
        <v>299</v>
      </c>
      <c r="D22" s="173" t="s">
        <v>473</v>
      </c>
      <c r="E22" s="350" t="s">
        <v>1715</v>
      </c>
      <c r="F22" s="1093">
        <f>SUM($F$15:$F$21)</f>
        <v>0</v>
      </c>
      <c r="G22" s="1093">
        <f>SUM($G$15:$G$16,$G$18:$G$21)</f>
        <v>0</v>
      </c>
      <c r="H22" s="1093">
        <f>SUM($H$15:$H$21)</f>
        <v>0</v>
      </c>
      <c r="I22" s="1093">
        <f>SUM($I$15:$I$21)</f>
        <v>0</v>
      </c>
      <c r="J22" s="1093">
        <f>SUM($J$15:$J$21)</f>
        <v>0</v>
      </c>
      <c r="K22" s="1093">
        <f>SUM($K$15:$K$21)</f>
        <v>0</v>
      </c>
      <c r="L22" s="1093">
        <f>SUM($L$15:$L$21)</f>
        <v>0</v>
      </c>
      <c r="M22" s="1832">
        <f>IF('20 (All countries)'!$E$11="Y", IF(G22='20 (All countries)'!E31-'20 (All countries)'!F31+'20 (All countries)'!J31+'20 (All countries)'!K31,0,"{F 05.01, r080, c010} = sum({F 20.04, r150, c010, (sNNN)}) - sum({F 20.04, r150, c011, (sNNN)}) + sum({F 20.04, r150, c031, (sNNN)}) + sum({F 20.04, r150, c040, (sNNN)})"),0)</f>
        <v>0</v>
      </c>
      <c r="N22" s="1832">
        <f>IF('20 (All countries)'!$E$11="Y", IF(H22='20 (All countries)'!E32-'20 (All countries)'!F32+'20 (All countries)'!J32+'20 (All countries)'!K32,0,"{F 05.01, r080, c020} = sum({F 20.04, r160, c010, (sNNN)}) - sum({F 20.04, r160, c011, (sNNN)}) + sum({F 20.04, r160, c031, (sNNN)}) + sum({F 20.04, r160, c040, (sNNN)})"),0)</f>
        <v>0</v>
      </c>
      <c r="O22" s="1832">
        <f>IF('20 (All countries)'!$E$11="Y", IF(I22='20 (All countries)'!E33-'20 (All countries)'!F33+'20 (All countries)'!J33+'20 (All countries)'!K33,0,"{F 05.01, r080, c030} = sum({F 20.04, r170, c010, (sNNN)}) - sum({F 20.04, r170, c011, (sNNN)}) + sum({F 20.04, r170, c031, (sNNN)}) + sum({F 20.04, r170, c040, (sNNN)})"),0)</f>
        <v>0</v>
      </c>
      <c r="P22" s="1832">
        <f>IF('20 (All countries)'!$E$11="Y", IF(J22='20 (All countries)'!E34-'20 (All countries)'!F34+'20 (All countries)'!J34+'20 (All countries)'!K34,0,"{F 05.01, r080, c040} = sum({F 20.04, r180, c010, (sNNN)}) - sum({F 20.04, r180, c011, (sNNN)}) + sum({F 20.04, r180, c031, (sNNN)}) + sum({F 20.04, r180, c040, (sNNN)})"),0)</f>
        <v>0</v>
      </c>
      <c r="Q22" s="1832">
        <f>IF('20 (All countries)'!$E$11="Y", IF(K22='20 (All countries)'!E35-'20 (All countries)'!F35+'20 (All countries)'!J35+'20 (All countries)'!K35,0,"{F 05.01, r080, c050} = sum({F 20.04, r190, c010, (sNNN)}) - sum({F 20.04, r190, c011, (sNNN)}) + sum({F 20.04, r190, c031, (sNNN)}) + sum({F 20.04, r190, c040, (sNNN)})"),0)</f>
        <v>0</v>
      </c>
      <c r="R22" s="1832">
        <f>IF('20 (All countries)'!$E$11="Y", IF(L22='20 (All countries)'!E38-'20 (All countries)'!F38+'20 (All countries)'!J38+'20 (All countries)'!K38,0,"{F 05.01, r080, c060} = sum({F 20.04, r220, c010, (sNNN)}) - sum({F 20.04, r220, c011, (sNNN)}) + sum({F 20.04, r220, c031, (sNNN)}) + sum({F 20.04, r220, c040, (sNNN)})"),0)</f>
        <v>0</v>
      </c>
    </row>
    <row r="23" spans="1:18">
      <c r="A23" s="1156" t="str">
        <f t="shared" si="1"/>
        <v>F-05.01_090</v>
      </c>
      <c r="B23" s="407" t="s">
        <v>387</v>
      </c>
      <c r="C23" s="417" t="s">
        <v>300</v>
      </c>
      <c r="D23" s="35" t="s">
        <v>2006</v>
      </c>
      <c r="E23" s="89" t="s">
        <v>1716</v>
      </c>
      <c r="F23" s="1641"/>
      <c r="G23" s="865"/>
      <c r="H23" s="896"/>
      <c r="I23" s="896"/>
      <c r="J23" s="896"/>
      <c r="K23" s="896"/>
      <c r="L23" s="896"/>
    </row>
    <row r="24" spans="1:18">
      <c r="A24" s="1156" t="str">
        <f t="shared" si="1"/>
        <v>F-05.01_100</v>
      </c>
      <c r="B24" s="408"/>
      <c r="C24" s="414" t="s">
        <v>301</v>
      </c>
      <c r="D24" s="36" t="s">
        <v>440</v>
      </c>
      <c r="E24" s="160" t="s">
        <v>1986</v>
      </c>
      <c r="F24" s="898"/>
      <c r="G24" s="1825"/>
      <c r="H24" s="898"/>
      <c r="I24" s="898"/>
      <c r="J24" s="898"/>
      <c r="K24" s="898"/>
      <c r="L24" s="1823"/>
      <c r="M24" s="1824"/>
    </row>
    <row r="25" spans="1:18">
      <c r="A25" s="1156" t="str">
        <f t="shared" si="1"/>
        <v>F-05.01_110</v>
      </c>
      <c r="B25" s="407" t="s">
        <v>388</v>
      </c>
      <c r="C25" s="418" t="s">
        <v>302</v>
      </c>
      <c r="D25" s="262" t="s">
        <v>441</v>
      </c>
      <c r="E25" s="263" t="s">
        <v>1718</v>
      </c>
      <c r="F25" s="899"/>
      <c r="G25" s="1818"/>
      <c r="H25" s="1819"/>
      <c r="I25" s="1819"/>
      <c r="J25" s="1819"/>
      <c r="K25" s="1819"/>
      <c r="L25" s="897"/>
    </row>
    <row r="26" spans="1:18">
      <c r="A26" s="1156" t="str">
        <f t="shared" si="1"/>
        <v>F-05.01_120</v>
      </c>
      <c r="B26" s="410"/>
      <c r="C26" s="415" t="s">
        <v>303</v>
      </c>
      <c r="D26" s="38" t="s">
        <v>385</v>
      </c>
      <c r="E26" s="216" t="s">
        <v>1833</v>
      </c>
      <c r="F26" s="899"/>
      <c r="G26" s="704"/>
      <c r="H26" s="1822"/>
      <c r="I26" s="1822"/>
      <c r="J26" s="1822"/>
      <c r="K26" s="1822"/>
      <c r="L26" s="898"/>
    </row>
    <row r="27" spans="1:18" ht="21">
      <c r="A27" s="1156" t="str">
        <f t="shared" si="1"/>
        <v>F-05.01_130</v>
      </c>
      <c r="B27" s="411" t="s">
        <v>392</v>
      </c>
      <c r="C27" s="385" t="s">
        <v>304</v>
      </c>
      <c r="D27" s="322" t="s">
        <v>393</v>
      </c>
      <c r="E27" s="337" t="s">
        <v>1987</v>
      </c>
      <c r="F27" s="1642"/>
      <c r="G27" s="1820"/>
      <c r="H27" s="1820"/>
      <c r="I27" s="1820"/>
      <c r="J27" s="1820"/>
      <c r="K27" s="1821"/>
      <c r="L27" s="1820"/>
    </row>
    <row r="28" spans="1:18" ht="28.5" customHeight="1">
      <c r="A28" s="1100" t="s">
        <v>718</v>
      </c>
      <c r="C28" s="78"/>
      <c r="D28" s="1833">
        <f>IF(SUM(G22:L22)=SUM('1.1'!F16+'1.1'!F17+'1.1'!F26+'1.1'!F29+'1.1'!F33+'1.1'!F36),0,"sum({F 05.01, r080, (c010, c020, c030, c040, c050, c060)}) = sum({F 01.01, c010, (r030, r040, r099, r130, r144, r183)})")</f>
        <v>0</v>
      </c>
      <c r="E28" s="851">
        <f>IF($F$22&gt;=SUM($F$25+$F$26),0,"r080&gt;=sum(r110-120)")</f>
        <v>0</v>
      </c>
      <c r="F28" s="1497">
        <f>IF($F$22&gt;=SUM($F$23+$F$24),0,"r080&gt;=sum(r090-100)")</f>
        <v>0</v>
      </c>
      <c r="H28" s="833">
        <f>IF($H$22&gt;=SUM($H$23+$H$24),0,"r080&gt;=sum(r90-100)")</f>
        <v>0</v>
      </c>
      <c r="I28" s="833">
        <f>IF($I$22&gt;=SUM($I$23+$I$24),0,"r080&gt;=sum(r90-100)")</f>
        <v>0</v>
      </c>
      <c r="J28" s="833">
        <f>IF($J$22&gt;=SUM($J$23+$J$24),0,"r080&gt;=sum(r90-100)")</f>
        <v>0</v>
      </c>
      <c r="K28" s="833">
        <f>IF($K$22&gt;=SUM($K$23+$K$24),0,"r080&gt;=sum(r90-100)")</f>
        <v>0</v>
      </c>
      <c r="L28" s="833">
        <f>IF($L$22&gt;=SUM($L$23+$L$24),0,"r080&gt;=sum(r90-100)")</f>
        <v>0</v>
      </c>
      <c r="M28" s="831"/>
      <c r="N28" s="831"/>
    </row>
    <row r="29" spans="1:18" ht="21.75" customHeight="1">
      <c r="A29" s="1100" t="s">
        <v>718</v>
      </c>
      <c r="F29" s="1498">
        <f>IF($F15&gt;=0,0,"F5,r10 c005&gt;=0")</f>
        <v>0</v>
      </c>
      <c r="G29" s="835">
        <f>IF($G$15&gt;=0,0,"F5,r10 c10&gt;=0")</f>
        <v>0</v>
      </c>
      <c r="H29" s="835">
        <f>IF($H$15&gt;=0,0,"F5,r10 c20&gt;=0")</f>
        <v>0</v>
      </c>
      <c r="I29" s="835">
        <f>IF($I$15&gt;=0,0,"F5,r10 c30&gt;=0")</f>
        <v>0</v>
      </c>
      <c r="J29" s="835">
        <f>IF($J$15&gt;=0,0,"F5,r10 c40&gt;=0")</f>
        <v>0</v>
      </c>
      <c r="K29" s="835">
        <f>IF($K$15&gt;=0,0,"F5,r10 c50&gt;=0")</f>
        <v>0</v>
      </c>
      <c r="L29" s="828">
        <f>IF($L$22&gt;=SUM($L$25+$L$26),0,"r080&gt;=sum(r110-120)")</f>
        <v>0</v>
      </c>
      <c r="M29" s="831"/>
      <c r="N29" s="831"/>
    </row>
    <row r="30" spans="1:18" ht="12.75" customHeight="1">
      <c r="A30" s="1100" t="s">
        <v>718</v>
      </c>
      <c r="C30" s="832"/>
      <c r="D30" s="832"/>
      <c r="E30" s="832"/>
      <c r="F30" s="1498">
        <f>IF($F16&gt;=0,0,"F5,r20 c005&gt;=0")</f>
        <v>0</v>
      </c>
      <c r="G30" s="835">
        <f>IF($G$16&gt;=0,0,"F5,r20 c10&gt;=0")</f>
        <v>0</v>
      </c>
      <c r="H30" s="835">
        <f>IF($H$16&gt;=0,0,"F5,r20 c20&gt;=0")</f>
        <v>0</v>
      </c>
      <c r="I30" s="835">
        <f>IF($I$16&gt;=0,0,"F5,r20 c30&gt;=0")</f>
        <v>0</v>
      </c>
      <c r="J30" s="835">
        <f>IF($J$16&gt;=0,0,"F5,r20 c40&gt;=0")</f>
        <v>0</v>
      </c>
      <c r="K30" s="835">
        <f>IF($K$16&gt;=0,0,"F5,r20 c50&gt;=0")</f>
        <v>0</v>
      </c>
      <c r="L30" s="835">
        <f>IF($L$15&gt;=0,0,"F5,r10 c60&gt;=0")</f>
        <v>0</v>
      </c>
      <c r="M30" s="831"/>
      <c r="N30" s="831"/>
    </row>
    <row r="31" spans="1:18">
      <c r="A31" s="1100" t="s">
        <v>718</v>
      </c>
      <c r="F31" s="1498">
        <f>IF($F17&gt;=0,0,"F5,r30 c005&gt;=0")</f>
        <v>0</v>
      </c>
      <c r="G31" s="835"/>
      <c r="H31" s="835">
        <f>IF($H$17&gt;=0,0,"F5,r30 c20&gt;=0")</f>
        <v>0</v>
      </c>
      <c r="I31" s="835">
        <f>IF($I$17&gt;=0,0,"F5,r30 c30&gt;=0")</f>
        <v>0</v>
      </c>
      <c r="J31" s="835">
        <f>IF($J$17&gt;=0,0,"F5,r30 c40&gt;=0")</f>
        <v>0</v>
      </c>
      <c r="K31" s="835">
        <f>IF($K$17&gt;=0,0,"F5,r30 c50&gt;=0")</f>
        <v>0</v>
      </c>
      <c r="L31" s="835">
        <f>IF($L$16&gt;=0,0,"F5,r20 c60&gt;=0")</f>
        <v>0</v>
      </c>
      <c r="M31" s="831"/>
      <c r="N31" s="831"/>
    </row>
    <row r="32" spans="1:18">
      <c r="A32" s="1100" t="s">
        <v>718</v>
      </c>
      <c r="F32" s="1498">
        <f>IF($F18&gt;=0,0,"F5,r40 c005&gt;=0")</f>
        <v>0</v>
      </c>
      <c r="G32" s="835">
        <f>IF($G$18&gt;=0,0,"F5,r40 c10&gt;=0")</f>
        <v>0</v>
      </c>
      <c r="H32" s="835">
        <f>IF($H$18&gt;=0,0,"F5,r40 c20&gt;=0")</f>
        <v>0</v>
      </c>
      <c r="I32" s="835">
        <f>IF($I$18&gt;=0,0,"F5,r40 c30&gt;=0")</f>
        <v>0</v>
      </c>
      <c r="J32" s="835">
        <f>IF($J$18&gt;=0,0,"F5,r40 c40&gt;=0")</f>
        <v>0</v>
      </c>
      <c r="K32" s="835">
        <f>IF($K$18&gt;=0,0,"F5,r40 c50&gt;=0")</f>
        <v>0</v>
      </c>
      <c r="L32" s="835">
        <f>IF($L$17&gt;=0,0,"F5,r30 c60&gt;=0")</f>
        <v>0</v>
      </c>
      <c r="M32" s="831"/>
      <c r="N32" s="831"/>
    </row>
    <row r="33" spans="1:14">
      <c r="A33" s="1100" t="s">
        <v>718</v>
      </c>
      <c r="F33" s="1498">
        <f>IF($F19&gt;=0,0,"F5,r50 c005&gt;=0")</f>
        <v>0</v>
      </c>
      <c r="G33" s="835">
        <f>IF($G$19&gt;=0,0,"F5,r50 c10&gt;=0")</f>
        <v>0</v>
      </c>
      <c r="H33" s="835">
        <f>IF($H$19&gt;=0,0,"F5,r50 c20&gt;=0")</f>
        <v>0</v>
      </c>
      <c r="I33" s="835">
        <f>IF($I$19&gt;=0,0,"F5,r50 c30&gt;=0")</f>
        <v>0</v>
      </c>
      <c r="J33" s="835">
        <f>IF($J$19&gt;=0,0,"F5,r50 c40&gt;=0")</f>
        <v>0</v>
      </c>
      <c r="K33" s="835">
        <f>IF($K$19&gt;=0,0,"F5,r50 c50&gt;=0")</f>
        <v>0</v>
      </c>
      <c r="L33" s="835">
        <f>IF($L$18&gt;=0,0,"F5,r40 c60&gt;=0")</f>
        <v>0</v>
      </c>
      <c r="M33" s="831"/>
      <c r="N33" s="831"/>
    </row>
    <row r="34" spans="1:14">
      <c r="A34" s="1100" t="s">
        <v>718</v>
      </c>
      <c r="F34" s="1498">
        <f>IF($F20&gt;=0,0,"F5,r60 c005&gt;=0")</f>
        <v>0</v>
      </c>
      <c r="G34" s="835">
        <f>IF($G$20&gt;=0,0,"F5,r60 c10&gt;=0")</f>
        <v>0</v>
      </c>
      <c r="H34" s="835">
        <f>IF($H$20&gt;=0,0,"F5,r60 c20&gt;=0")</f>
        <v>0</v>
      </c>
      <c r="I34" s="835">
        <f>IF($I$20&gt;=0,0,"F5,r60 c30&gt;=0")</f>
        <v>0</v>
      </c>
      <c r="J34" s="835">
        <f>IF($J$20&gt;=0,0,"F5,r60 c40&gt;=0")</f>
        <v>0</v>
      </c>
      <c r="K34" s="835">
        <f>IF($K$20&gt;=0,0,"F5,r60 c50&gt;=0")</f>
        <v>0</v>
      </c>
      <c r="L34" s="835">
        <f>IF($L$19&gt;=0,0,"F5,r50 c60&gt;=0")</f>
        <v>0</v>
      </c>
      <c r="M34" s="831"/>
      <c r="N34" s="831"/>
    </row>
    <row r="35" spans="1:14">
      <c r="A35" s="1100" t="s">
        <v>718</v>
      </c>
      <c r="F35" s="1498">
        <f>IF($F21&gt;=0,0,"F5,r70 c005&gt;=0")</f>
        <v>0</v>
      </c>
      <c r="G35" s="835">
        <f>IF($G$21&gt;=0,0,"F5,r70 c10&gt;=0")</f>
        <v>0</v>
      </c>
      <c r="H35" s="835">
        <f>IF($H$21&gt;=0,0,"F5,r70 c20&gt;=0")</f>
        <v>0</v>
      </c>
      <c r="I35" s="835">
        <f>IF($I$21&gt;=0,0,"F5,r70 c30&gt;=0")</f>
        <v>0</v>
      </c>
      <c r="J35" s="835">
        <f>IF($J$21&gt;=0,0,"F5,r70c40&gt;=0")</f>
        <v>0</v>
      </c>
      <c r="K35" s="835">
        <f>IF($K$21&gt;=0,0,"F5,r70 c50&gt;=0")</f>
        <v>0</v>
      </c>
      <c r="L35" s="835">
        <f>IF($L$20&gt;=0,0,"F5,r60 c60&gt;=0")</f>
        <v>0</v>
      </c>
      <c r="M35" s="831"/>
      <c r="N35" s="831"/>
    </row>
    <row r="36" spans="1:14">
      <c r="A36" s="1100" t="s">
        <v>718</v>
      </c>
      <c r="F36" s="1498">
        <f>IF($F22&gt;=0,0,"F5,r80 c005&gt;=0")</f>
        <v>0</v>
      </c>
      <c r="G36" s="835">
        <f>IF($G$22&gt;=0,0,"F5,r80 c10&gt;=0")</f>
        <v>0</v>
      </c>
      <c r="H36" s="835">
        <f>IF($H$22&gt;=0,0,"F5,r80 c20&gt;=0")</f>
        <v>0</v>
      </c>
      <c r="I36" s="835">
        <f>IF($I$22&gt;=0,0,"F5,r80 c30&gt;=0")</f>
        <v>0</v>
      </c>
      <c r="J36" s="835">
        <f>IF($J$22&gt;=0,0,"F5,r80 c40&gt;=0")</f>
        <v>0</v>
      </c>
      <c r="K36" s="835">
        <f>IF($K$22&gt;=0,0,"F5,r80 c50&gt;=0")</f>
        <v>0</v>
      </c>
      <c r="L36" s="835">
        <f>IF($L$21&gt;=0,0,"F5,r70 c60&gt;=0")</f>
        <v>0</v>
      </c>
      <c r="M36" s="831"/>
      <c r="N36" s="831"/>
    </row>
    <row r="37" spans="1:14">
      <c r="A37" s="1100" t="s">
        <v>718</v>
      </c>
      <c r="F37" s="1498">
        <f>IF($F23&gt;=0,0,"F5,r90 c005&gt;=0")</f>
        <v>0</v>
      </c>
      <c r="G37" s="836"/>
      <c r="H37" s="835">
        <f>IF($H$23&gt;=0,0,"F5,r90 c20&gt;=0")</f>
        <v>0</v>
      </c>
      <c r="I37" s="835">
        <f>IF($I$23&gt;=0,0,"F5,r90 c30&gt;=0")</f>
        <v>0</v>
      </c>
      <c r="J37" s="835">
        <f>IF($J$23&gt;=0,0,"F5,r90 c40&gt;=0")</f>
        <v>0</v>
      </c>
      <c r="K37" s="835">
        <f>IF($K$23&gt;=0,0,"F5,r90 c50&gt;=0")</f>
        <v>0</v>
      </c>
      <c r="L37" s="835">
        <f>IF($L$22&gt;=0,0,"F5,r80 c60&gt;=0")</f>
        <v>0</v>
      </c>
      <c r="M37" s="831"/>
      <c r="N37" s="831"/>
    </row>
    <row r="38" spans="1:14">
      <c r="A38" s="1100" t="s">
        <v>718</v>
      </c>
      <c r="F38" s="1498">
        <f>IF($F24&gt;=0,0,"F5,r100 c005&gt;=0")</f>
        <v>0</v>
      </c>
      <c r="G38" s="1498">
        <f>IF($G$24&gt;=0,0,"F5,r100 c10&gt;=0")</f>
        <v>0</v>
      </c>
      <c r="H38" s="835">
        <f>IF($H$24&gt;=0,0,"F5,r100 c20&gt;=0")</f>
        <v>0</v>
      </c>
      <c r="I38" s="835">
        <f>IF($I$24&gt;=0,0,"F5,r100 c30&gt;=0")</f>
        <v>0</v>
      </c>
      <c r="J38" s="835">
        <f>IF($J$24&gt;=0,0,"F5,r100 c40&gt;=0")</f>
        <v>0</v>
      </c>
      <c r="K38" s="835">
        <f>IF($K$24&gt;=0,0,"F5,r100 c50&gt;=0")</f>
        <v>0</v>
      </c>
      <c r="L38" s="835">
        <f>IF($L$23&gt;=0,0,"F5,r90 c60&gt;=0")</f>
        <v>0</v>
      </c>
      <c r="M38" s="831"/>
      <c r="N38" s="831"/>
    </row>
    <row r="39" spans="1:14">
      <c r="A39" s="1100" t="s">
        <v>718</v>
      </c>
      <c r="F39" s="1498">
        <f>IF($F25&gt;=0,0,"F5,r110 c005&gt;=0")</f>
        <v>0</v>
      </c>
      <c r="G39" s="836"/>
      <c r="H39" s="836"/>
      <c r="I39" s="836"/>
      <c r="J39" s="836"/>
      <c r="K39" s="835">
        <f>IF($K$27&gt;=0,0,"F5,r130 c50&gt;=0")</f>
        <v>0</v>
      </c>
      <c r="L39" s="835">
        <f>IF($L$24&gt;=0,0,"F5,r100 c60&gt;=0")</f>
        <v>0</v>
      </c>
      <c r="M39" s="831"/>
      <c r="N39" s="831"/>
    </row>
    <row r="40" spans="1:14">
      <c r="A40" s="1100" t="s">
        <v>718</v>
      </c>
      <c r="E40" s="851">
        <f>IF($F$22&gt;=$F$27,0,"r080&gt;=r130")</f>
        <v>0</v>
      </c>
      <c r="F40" s="1498">
        <f>IF($F26&gt;=0,0,"F5,r120 c005&gt;=0")</f>
        <v>0</v>
      </c>
      <c r="G40" s="836"/>
      <c r="H40" s="836"/>
      <c r="I40" s="836"/>
      <c r="J40" s="836"/>
      <c r="K40" s="828">
        <f>IF($K$22&gt;=$K$27,0,"r080&gt;=r130")</f>
        <v>0</v>
      </c>
      <c r="L40" s="835">
        <f>IF($L$25&gt;=0,0,"F5,r110 c60&gt;=0")</f>
        <v>0</v>
      </c>
      <c r="M40" s="831"/>
      <c r="N40" s="831"/>
    </row>
    <row r="41" spans="1:14">
      <c r="A41" s="1100" t="s">
        <v>718</v>
      </c>
      <c r="F41" s="1498">
        <f>IF($F27&gt;=0,0,"F5,r130 c005&gt;=0")</f>
        <v>0</v>
      </c>
      <c r="I41" s="2011">
        <f>IF(SUM($G$22:$L$22)&gt;= SUM('13'!$E$16:$I$16),0,"sum(F5,r80,c10-60)&gt;= (F13.1,r10,c10-50)")</f>
        <v>0</v>
      </c>
      <c r="J41" s="2011"/>
      <c r="K41" s="2011"/>
      <c r="L41" s="835">
        <f>IF($L$26&gt;=0,0,"F5,r120 c60&gt;=0")</f>
        <v>0</v>
      </c>
      <c r="M41" s="831"/>
      <c r="N41" s="831"/>
    </row>
    <row r="42" spans="1:14">
      <c r="A42" s="1100" t="s">
        <v>718</v>
      </c>
      <c r="C42" s="832"/>
      <c r="D42" s="832"/>
      <c r="E42" s="832"/>
      <c r="F42" s="832"/>
      <c r="G42" s="832"/>
      <c r="H42" s="832"/>
      <c r="I42" s="2011">
        <f>IF($K$22&gt;=SUM('13'!E18:I18),0,"(F5,r80,c50)&lt;=Sum(F13.1,r30,c10-50)")</f>
        <v>0</v>
      </c>
      <c r="J42" s="2011"/>
      <c r="K42" s="2011"/>
      <c r="M42" s="831"/>
      <c r="N42" s="831"/>
    </row>
    <row r="43" spans="1:14">
      <c r="A43" s="1100" t="s">
        <v>718</v>
      </c>
      <c r="C43" s="1164"/>
      <c r="D43" s="1164"/>
      <c r="E43" s="1164"/>
      <c r="F43" s="1480"/>
      <c r="G43" s="1164"/>
      <c r="H43" s="1164"/>
      <c r="I43" s="2011">
        <f>IF($L$22&gt;=SUM('13'!$E$19:$I$19),0,"(F5,r80,c60)&gt;=Sum(F13.1,r40,c10-50)")</f>
        <v>0</v>
      </c>
      <c r="J43" s="2011"/>
      <c r="K43" s="2011"/>
      <c r="L43" s="836"/>
      <c r="M43" s="831"/>
      <c r="N43" s="831"/>
    </row>
    <row r="44" spans="1:14">
      <c r="A44" s="1100" t="s">
        <v>718</v>
      </c>
      <c r="C44" s="1164"/>
      <c r="D44" s="1164"/>
      <c r="E44" s="1164"/>
      <c r="F44" s="1480"/>
      <c r="G44" s="1164"/>
      <c r="H44" s="1164"/>
      <c r="I44" s="2005">
        <f>IF($J$22&gt;=SUM('13'!$E$17:$I$17),0,"f5,r80,c40&gt;=sum(f13.1,r20,c10-50)")</f>
        <v>0</v>
      </c>
      <c r="J44" s="2005"/>
      <c r="K44" s="2005"/>
      <c r="L44" s="834"/>
      <c r="M44" s="831"/>
      <c r="N44" s="831"/>
    </row>
    <row r="45" spans="1:14">
      <c r="A45" s="1100" t="s">
        <v>718</v>
      </c>
      <c r="E45" s="833"/>
      <c r="F45" s="1480"/>
      <c r="G45" s="1941">
        <f>IF($G$22=SUM('1.1'!$F$16+'4'!$E$57+'4'!$E$83+'4'!$E$115+'4'!$E$149),0,"{F 05.01, r080, c010} = {F 01.01, r030, c010} + {F 04.02.1, r120, c010} + {F 04.02.2, r130, c010} + {F 04.03.1, r120, c010} + {F 04.04.1, r080, c010}")</f>
        <v>0</v>
      </c>
      <c r="H45" s="1662"/>
      <c r="I45" s="1662"/>
      <c r="J45" s="1662"/>
      <c r="K45" s="1662"/>
      <c r="L45" s="1662"/>
      <c r="M45" s="1164"/>
      <c r="N45" s="831"/>
    </row>
    <row r="46" spans="1:14">
      <c r="A46" s="1156" t="s">
        <v>724</v>
      </c>
      <c r="G46" s="37"/>
      <c r="H46" s="1941">
        <f>IF($H$22=SUM('4'!$E$58+'4'!$E$84+'4'!$E$116+'4'!$E$150),0,"{F 05.01, r080, c020} = {F 04.02.1, r130, c010} + {F 04.02.2, r140, c010} + {F 04.03.1, r130, c010} + {F 04.04.1, r090, c010}")</f>
        <v>0</v>
      </c>
      <c r="I46" s="1942"/>
      <c r="J46" s="1662"/>
      <c r="K46" s="1942"/>
      <c r="L46" s="1943"/>
      <c r="M46" s="831"/>
      <c r="N46" s="831"/>
    </row>
    <row r="47" spans="1:14">
      <c r="G47" s="37"/>
      <c r="H47" s="1943"/>
      <c r="I47" s="1941">
        <f>IF($I$22=SUM('1.1'!$F$17+'4'!$E$59+'4'!$E$85+'4'!$E$117+'4'!$E$151),0,"{F 05.01, r080, c030} = {F 01.01, r040, c010} + {F 04.02.1, r140, c010} + {F 04.02.2, r150, c010} + {F 04.03.1, r140, c010} + {F 04.04.1, r100, c010}")</f>
        <v>0</v>
      </c>
      <c r="J47" s="1943"/>
      <c r="K47" s="1662"/>
      <c r="L47" s="1943"/>
      <c r="M47" s="831"/>
      <c r="N47" s="831"/>
    </row>
    <row r="48" spans="1:14">
      <c r="G48" s="37"/>
      <c r="H48" s="1942"/>
      <c r="I48" s="1942"/>
      <c r="J48" s="1941">
        <f>IF($J$22=SUM('4'!$E$60+'4'!$E$86+'4'!$E$118+'4'!$E$152),0,"{F 05.01, r080, c040} = {F 04.02.1, r150, c010} + {F 04.02.2, r160, c010} + {F 04.03.1, r150, c010} + {F 04.04.1, r110, c010}")</f>
        <v>0</v>
      </c>
      <c r="K48" s="1942"/>
      <c r="L48" s="1662"/>
    </row>
    <row r="49" spans="7:12">
      <c r="G49" s="37"/>
      <c r="H49" s="37"/>
      <c r="I49" s="37"/>
      <c r="J49" s="37"/>
      <c r="K49" s="1944">
        <f>IF($K$22=SUM('4'!$E$61+'4'!$E$87+'4'!$E$119+'4'!$E$153),0,"{F 05.01, r080, c050} = {F 04.02.1, r160, c010} + {F 04.02.2, r170, c010} + {F 04.03.1, r160, c010} + {F 04.04.1, r120, c010}")</f>
        <v>0</v>
      </c>
      <c r="L49" s="37"/>
    </row>
    <row r="50" spans="7:12">
      <c r="G50" s="37"/>
      <c r="H50" s="37"/>
      <c r="I50" s="37"/>
      <c r="J50" s="37"/>
      <c r="K50" s="1944">
        <f>IF($K$22=SUM('6'!$E$35+'6'!$H$35+'6'!$I$35),0,"{F 05.01, r080, c050} = {F 06.01, r190, c010} + {F 06.01, r190, c021} + {F 06.01, r190, c022}")</f>
        <v>0</v>
      </c>
      <c r="L50" s="37"/>
    </row>
    <row r="51" spans="7:12">
      <c r="G51" s="37"/>
      <c r="H51" s="37"/>
      <c r="I51" s="37"/>
      <c r="J51" s="37"/>
      <c r="K51" s="37"/>
      <c r="L51" s="1944">
        <f>IF($L$22=SUM('4'!$E$62+'4'!$E$88+'4'!$E$120+'4'!$E$154),0,"{F 05.01, r080, c060} = {F 04.02.1, r170, c010} + {F 04.02.2, r180, c010} + {F 04.03.1, r170, c010} + {F 04.04.1, r130, c010}")</f>
        <v>0</v>
      </c>
    </row>
  </sheetData>
  <sheetProtection password="C2F4" sheet="1" objects="1" scenarios="1"/>
  <mergeCells count="6">
    <mergeCell ref="I44:K44"/>
    <mergeCell ref="F11:F12"/>
    <mergeCell ref="G11:L11"/>
    <mergeCell ref="I41:K41"/>
    <mergeCell ref="I42:K42"/>
    <mergeCell ref="I43:K43"/>
  </mergeCells>
  <dataValidations count="1">
    <dataValidation type="whole" allowBlank="1" showInputMessage="1" showErrorMessage="1" error="wrong number format or sign" sqref="F15:L16 G18:G22 H17:L23 K27 L24:L26 F17:F27 G24:K24">
      <formula1>0</formula1>
      <formula2>99999999</formula2>
    </dataValidation>
  </dataValidations>
  <printOptions horizontalCentered="1" headings="1" gridLines="1"/>
  <pageMargins left="0.2" right="0.2" top="0.33" bottom="0.4" header="0.17" footer="0.31496062992125984"/>
  <pageSetup paperSize="9" scale="67" orientation="landscape" cellComments="asDisplayed" r:id="rId1"/>
  <headerFooter scaleWithDoc="0" alignWithMargins="0"/>
  <ignoredErrors>
    <ignoredError sqref="C15:C27 G14:L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49</vt:i4>
      </vt:variant>
    </vt:vector>
  </HeadingPairs>
  <TitlesOfParts>
    <vt:vector size="86" baseType="lpstr">
      <vt:lpstr>Index</vt:lpstr>
      <vt:lpstr>Instructions</vt:lpstr>
      <vt:lpstr>1.1</vt:lpstr>
      <vt:lpstr>1.2</vt:lpstr>
      <vt:lpstr>1.3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20</vt:lpstr>
      <vt:lpstr>20 (All countries)</vt:lpstr>
      <vt:lpstr>20 (CY)</vt:lpstr>
      <vt:lpstr>20_Codes</vt:lpstr>
      <vt:lpstr>21</vt:lpstr>
      <vt:lpstr>22</vt:lpstr>
      <vt:lpstr>30</vt:lpstr>
      <vt:lpstr>31</vt:lpstr>
      <vt:lpstr>40</vt:lpstr>
      <vt:lpstr>40_Codes</vt:lpstr>
      <vt:lpstr>41</vt:lpstr>
      <vt:lpstr>42</vt:lpstr>
      <vt:lpstr>43</vt:lpstr>
      <vt:lpstr>44</vt:lpstr>
      <vt:lpstr>45</vt:lpstr>
      <vt:lpstr>46</vt:lpstr>
      <vt:lpstr>_17.REconciliation_bEtwEEn_Accounting_and_CRR_scopE_of_consolidation__BalancE_ShEEt</vt:lpstr>
      <vt:lpstr>acc_group</vt:lpstr>
      <vt:lpstr>Accountinggroup</vt:lpstr>
      <vt:lpstr>Accountingtreatment</vt:lpstr>
      <vt:lpstr>code</vt:lpstr>
      <vt:lpstr>Codes</vt:lpstr>
      <vt:lpstr>country</vt:lpstr>
      <vt:lpstr>crr_group</vt:lpstr>
      <vt:lpstr>CRRGroup</vt:lpstr>
      <vt:lpstr>group_list</vt:lpstr>
      <vt:lpstr>group_str</vt:lpstr>
      <vt:lpstr>Groupstructure</vt:lpstr>
      <vt:lpstr>nacecode</vt:lpstr>
      <vt:lpstr>'1.1'!Print_Area</vt:lpstr>
      <vt:lpstr>'1.2'!Print_Area</vt:lpstr>
      <vt:lpstr>'1.3'!Print_Area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'2'!Print_Area</vt:lpstr>
      <vt:lpstr>'20'!Print_Area</vt:lpstr>
      <vt:lpstr>'20 (All countries)'!Print_Area</vt:lpstr>
      <vt:lpstr>'20 (CY)'!Print_Area</vt:lpstr>
      <vt:lpstr>'21'!Print_Area</vt:lpstr>
      <vt:lpstr>'22'!Print_Area</vt:lpstr>
      <vt:lpstr>'3'!Print_Area</vt:lpstr>
      <vt:lpstr>'30'!Print_Area</vt:lpstr>
      <vt:lpstr>'31'!Print_Area</vt:lpstr>
      <vt:lpstr>'4'!Print_Area</vt:lpstr>
      <vt:lpstr>'40'!Print_Area</vt:lpstr>
      <vt:lpstr>'41'!Print_Area</vt:lpstr>
      <vt:lpstr>'43'!Print_Area</vt:lpstr>
      <vt:lpstr>'5'!Print_Area</vt:lpstr>
      <vt:lpstr>'6'!Print_Area</vt:lpstr>
      <vt:lpstr>'7'!Print_Area</vt:lpstr>
      <vt:lpstr>'8'!Print_Area</vt:lpstr>
      <vt:lpstr>'9'!Print_Area</vt:lpstr>
      <vt:lpstr>Index!Print_Area</vt:lpstr>
      <vt:lpstr>'12'!Print_Titles</vt:lpstr>
      <vt:lpstr>'2'!Print_Titles</vt:lpstr>
      <vt:lpstr>'40'!Print_Titles</vt:lpstr>
      <vt:lpstr>Sectorofinvestee</vt:lpstr>
      <vt:lpstr>sectors_list</vt:lpstr>
      <vt:lpstr>subsidiary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FINREP framework</dc:subject>
  <dc:creator>FINREP ON</dc:creator>
  <cp:lastModifiedBy>Panayiotis S Makariou</cp:lastModifiedBy>
  <cp:lastPrinted>2018-02-13T11:08:38Z</cp:lastPrinted>
  <dcterms:created xsi:type="dcterms:W3CDTF">2005-12-22T16:09:37Z</dcterms:created>
  <dcterms:modified xsi:type="dcterms:W3CDTF">2019-01-23T11:35:52Z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